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627BD0FC-54C1-47E3-8C11-66E2D480B306}" xr6:coauthVersionLast="46" xr6:coauthVersionMax="46" xr10:uidLastSave="{00000000-0000-0000-0000-000000000000}"/>
  <bookViews>
    <workbookView xWindow="-120" yWindow="-120" windowWidth="20730" windowHeight="11160" tabRatio="760" xr2:uid="{00000000-000D-0000-FFFF-FFFF00000000}"/>
  </bookViews>
  <sheets>
    <sheet name="გურამიშვილი, კრებსითი" sheetId="6" r:id="rId1"/>
    <sheet name="სამშენებლო" sheetId="4" r:id="rId2"/>
    <sheet name="კომპ. დაქსელვა" sheetId="5" r:id="rId3"/>
    <sheet name="სახანძრო" sheetId="7" r:id="rId4"/>
    <sheet name="სანტექნიკა" sheetId="8" r:id="rId5"/>
    <sheet name="ელექტროობა" sheetId="9" r:id="rId6"/>
    <sheet name="გაგრილ. ვენტილაცია" sheetId="10" r:id="rId7"/>
    <sheet name="საქვაბე" sheetId="1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6" l="1"/>
  <c r="J7" i="10"/>
  <c r="J10" i="10"/>
  <c r="J11" i="10"/>
  <c r="J12" i="10"/>
  <c r="J13" i="10"/>
  <c r="J16" i="10"/>
  <c r="J17" i="10"/>
  <c r="J18" i="10"/>
  <c r="J22" i="10"/>
  <c r="J23" i="10"/>
  <c r="J24" i="10"/>
  <c r="J25" i="10"/>
  <c r="J28" i="10"/>
  <c r="J29" i="10"/>
  <c r="J30" i="10"/>
  <c r="J31" i="10"/>
  <c r="J34" i="10"/>
  <c r="J35" i="10"/>
  <c r="J36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K73" i="10" s="1"/>
  <c r="J74" i="10"/>
  <c r="J75" i="10"/>
  <c r="J76" i="10"/>
  <c r="J77" i="10"/>
  <c r="J78" i="10"/>
  <c r="J79" i="10"/>
  <c r="J80" i="10"/>
  <c r="J81" i="10"/>
  <c r="H7" i="10"/>
  <c r="H10" i="10"/>
  <c r="H11" i="10"/>
  <c r="H12" i="10"/>
  <c r="H13" i="10"/>
  <c r="H16" i="10"/>
  <c r="H17" i="10"/>
  <c r="H18" i="10"/>
  <c r="K18" i="10" s="1"/>
  <c r="H22" i="10"/>
  <c r="H23" i="10"/>
  <c r="H24" i="10"/>
  <c r="K24" i="10" s="1"/>
  <c r="H25" i="10"/>
  <c r="H28" i="10"/>
  <c r="H29" i="10"/>
  <c r="H30" i="10"/>
  <c r="K30" i="10" s="1"/>
  <c r="H31" i="10"/>
  <c r="H34" i="10"/>
  <c r="H35" i="10"/>
  <c r="H36" i="10"/>
  <c r="H40" i="10"/>
  <c r="H41" i="10"/>
  <c r="H42" i="10"/>
  <c r="H43" i="10"/>
  <c r="H44" i="10"/>
  <c r="H45" i="10"/>
  <c r="H46" i="10"/>
  <c r="H47" i="10"/>
  <c r="H48" i="10"/>
  <c r="K48" i="10" s="1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F7" i="10"/>
  <c r="F10" i="10"/>
  <c r="F12" i="10"/>
  <c r="F13" i="10"/>
  <c r="F16" i="10"/>
  <c r="F18" i="10"/>
  <c r="F22" i="10"/>
  <c r="F24" i="10"/>
  <c r="F25" i="10"/>
  <c r="F28" i="10"/>
  <c r="F30" i="10"/>
  <c r="F31" i="10"/>
  <c r="F34" i="10"/>
  <c r="F36" i="10"/>
  <c r="F40" i="10"/>
  <c r="F42" i="10"/>
  <c r="F43" i="10"/>
  <c r="F44" i="10"/>
  <c r="K44" i="10" s="1"/>
  <c r="F45" i="10"/>
  <c r="F46" i="10"/>
  <c r="F47" i="10"/>
  <c r="F48" i="10"/>
  <c r="F49" i="10"/>
  <c r="F50" i="10"/>
  <c r="F51" i="10"/>
  <c r="F52" i="10"/>
  <c r="K52" i="10" s="1"/>
  <c r="F53" i="10"/>
  <c r="F54" i="10"/>
  <c r="F55" i="10"/>
  <c r="F57" i="10"/>
  <c r="F58" i="10"/>
  <c r="F59" i="10"/>
  <c r="F60" i="10"/>
  <c r="K60" i="10" s="1"/>
  <c r="F61" i="10"/>
  <c r="F62" i="10"/>
  <c r="F63" i="10"/>
  <c r="K63" i="10" s="1"/>
  <c r="F65" i="10"/>
  <c r="F66" i="10"/>
  <c r="F67" i="10"/>
  <c r="F68" i="10"/>
  <c r="K68" i="10" s="1"/>
  <c r="F69" i="10"/>
  <c r="F70" i="10"/>
  <c r="F71" i="10"/>
  <c r="F73" i="10"/>
  <c r="F74" i="10"/>
  <c r="F75" i="10"/>
  <c r="K75" i="10" s="1"/>
  <c r="F76" i="10"/>
  <c r="F77" i="10"/>
  <c r="F78" i="10"/>
  <c r="F79" i="10"/>
  <c r="K79" i="10" s="1"/>
  <c r="F81" i="10"/>
  <c r="K81" i="10" l="1"/>
  <c r="K76" i="10"/>
  <c r="K77" i="10"/>
  <c r="K78" i="10"/>
  <c r="K74" i="10"/>
  <c r="K71" i="10"/>
  <c r="K67" i="10"/>
  <c r="K59" i="10"/>
  <c r="K55" i="10"/>
  <c r="K51" i="10"/>
  <c r="K47" i="10"/>
  <c r="K43" i="10"/>
  <c r="K69" i="10"/>
  <c r="K65" i="10"/>
  <c r="K70" i="10"/>
  <c r="K66" i="10"/>
  <c r="K62" i="10"/>
  <c r="K58" i="10"/>
  <c r="K54" i="10"/>
  <c r="K50" i="10"/>
  <c r="K46" i="10"/>
  <c r="K42" i="10"/>
  <c r="K40" i="10"/>
  <c r="K34" i="10"/>
  <c r="K31" i="10"/>
  <c r="K36" i="10"/>
  <c r="K28" i="10"/>
  <c r="K25" i="10"/>
  <c r="K22" i="10"/>
  <c r="K16" i="10"/>
  <c r="K13" i="10"/>
  <c r="K7" i="10"/>
  <c r="K12" i="10"/>
  <c r="K61" i="10"/>
  <c r="K53" i="10"/>
  <c r="K45" i="10"/>
  <c r="K57" i="10"/>
  <c r="K49" i="10"/>
  <c r="K10" i="10"/>
  <c r="F64" i="10" l="1"/>
  <c r="K64" i="10" s="1"/>
  <c r="F72" i="10"/>
  <c r="K72" i="10" s="1"/>
  <c r="D19" i="10" l="1"/>
  <c r="F56" i="10"/>
  <c r="K56" i="10" s="1"/>
  <c r="H19" i="10" l="1"/>
  <c r="J19" i="10"/>
  <c r="F19" i="10"/>
  <c r="D39" i="11"/>
  <c r="D14" i="11"/>
  <c r="J9" i="11"/>
  <c r="H9" i="11"/>
  <c r="F9" i="11"/>
  <c r="D37" i="10"/>
  <c r="D33" i="10"/>
  <c r="D32" i="10"/>
  <c r="D27" i="10"/>
  <c r="D26" i="10"/>
  <c r="D21" i="10"/>
  <c r="D20" i="10"/>
  <c r="H20" i="10" l="1"/>
  <c r="J20" i="10"/>
  <c r="F20" i="10"/>
  <c r="F32" i="10"/>
  <c r="H32" i="10"/>
  <c r="J32" i="10"/>
  <c r="H21" i="10"/>
  <c r="F21" i="10"/>
  <c r="J21" i="10"/>
  <c r="F33" i="10"/>
  <c r="H33" i="10"/>
  <c r="J33" i="10"/>
  <c r="K33" i="10" s="1"/>
  <c r="K19" i="10"/>
  <c r="H27" i="10"/>
  <c r="F27" i="10"/>
  <c r="J27" i="10"/>
  <c r="K27" i="10" s="1"/>
  <c r="J26" i="10"/>
  <c r="H26" i="10"/>
  <c r="F26" i="10"/>
  <c r="F37" i="10"/>
  <c r="H37" i="10"/>
  <c r="J37" i="10"/>
  <c r="K9" i="11"/>
  <c r="D38" i="10"/>
  <c r="D39" i="10"/>
  <c r="D15" i="10"/>
  <c r="D14" i="10"/>
  <c r="D9" i="10"/>
  <c r="D8" i="10"/>
  <c r="H6" i="10"/>
  <c r="J6" i="10"/>
  <c r="F6" i="10"/>
  <c r="J14" i="10" l="1"/>
  <c r="F14" i="10"/>
  <c r="H14" i="10"/>
  <c r="H15" i="10"/>
  <c r="J15" i="10"/>
  <c r="F15" i="10"/>
  <c r="K37" i="10"/>
  <c r="K32" i="10"/>
  <c r="K20" i="10"/>
  <c r="F9" i="10"/>
  <c r="H9" i="10"/>
  <c r="J9" i="10"/>
  <c r="J38" i="10"/>
  <c r="F38" i="10"/>
  <c r="H38" i="10"/>
  <c r="F8" i="10"/>
  <c r="F11" i="10" s="1"/>
  <c r="K11" i="10" s="1"/>
  <c r="H8" i="10"/>
  <c r="J8" i="10"/>
  <c r="H39" i="10"/>
  <c r="J39" i="10"/>
  <c r="K39" i="10" s="1"/>
  <c r="F39" i="10"/>
  <c r="K26" i="10"/>
  <c r="K21" i="10"/>
  <c r="F23" i="10"/>
  <c r="K23" i="10" s="1"/>
  <c r="F35" i="10"/>
  <c r="K35" i="10" s="1"/>
  <c r="F29" i="10"/>
  <c r="K29" i="10" s="1"/>
  <c r="K6" i="10"/>
  <c r="F80" i="10"/>
  <c r="K80" i="10" s="1"/>
  <c r="K9" i="10" l="1"/>
  <c r="K8" i="10"/>
  <c r="K38" i="10"/>
  <c r="K15" i="10"/>
  <c r="K14" i="10"/>
  <c r="H82" i="10"/>
  <c r="J82" i="10"/>
  <c r="F41" i="10"/>
  <c r="K41" i="10" s="1"/>
  <c r="F17" i="10"/>
  <c r="K17" i="10" s="1"/>
  <c r="K82" i="10" l="1"/>
  <c r="F82" i="10"/>
  <c r="K83" i="10" s="1"/>
  <c r="K90" i="10"/>
  <c r="K84" i="10" l="1"/>
  <c r="K85" i="10" s="1"/>
  <c r="K86" i="10" s="1"/>
  <c r="K87" i="10" s="1"/>
  <c r="K88" i="10" s="1"/>
  <c r="K89" i="10" s="1"/>
  <c r="K91" i="10" s="1"/>
  <c r="K92" i="10" s="1"/>
  <c r="K93" i="10" s="1"/>
  <c r="J252" i="4"/>
  <c r="H252" i="4"/>
  <c r="F252" i="4"/>
  <c r="D248" i="4"/>
  <c r="D246" i="4"/>
  <c r="D243" i="4"/>
  <c r="D245" i="4" s="1"/>
  <c r="D234" i="4"/>
  <c r="D198" i="4"/>
  <c r="D176" i="4"/>
  <c r="D30" i="4"/>
  <c r="J2" i="10" l="1"/>
  <c r="C12" i="6"/>
  <c r="K252" i="4"/>
  <c r="D106" i="4" l="1"/>
  <c r="J106" i="4" s="1"/>
  <c r="H106" i="4" l="1"/>
  <c r="F106" i="4"/>
  <c r="D16" i="4"/>
  <c r="K106" i="4" l="1"/>
  <c r="J8" i="11" l="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40" i="11"/>
  <c r="J41" i="11"/>
  <c r="H8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40" i="11"/>
  <c r="H41" i="11"/>
  <c r="F8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40" i="11"/>
  <c r="F41" i="11"/>
  <c r="J7" i="11"/>
  <c r="H7" i="11"/>
  <c r="F7" i="11"/>
  <c r="K41" i="11" l="1"/>
  <c r="K36" i="11"/>
  <c r="K32" i="11"/>
  <c r="K28" i="11"/>
  <c r="K21" i="11"/>
  <c r="K18" i="11"/>
  <c r="K12" i="11"/>
  <c r="K37" i="11"/>
  <c r="K33" i="11"/>
  <c r="K29" i="11"/>
  <c r="K25" i="11"/>
  <c r="K22" i="11"/>
  <c r="K19" i="11"/>
  <c r="K15" i="11"/>
  <c r="K13" i="11"/>
  <c r="K10" i="11"/>
  <c r="K40" i="11"/>
  <c r="K35" i="11"/>
  <c r="K31" i="11"/>
  <c r="K27" i="11"/>
  <c r="K24" i="11"/>
  <c r="K20" i="11"/>
  <c r="K17" i="11"/>
  <c r="K11" i="11"/>
  <c r="K38" i="11"/>
  <c r="K34" i="11"/>
  <c r="K30" i="11"/>
  <c r="K26" i="11"/>
  <c r="K23" i="11"/>
  <c r="K16" i="11"/>
  <c r="K14" i="11"/>
  <c r="K8" i="11"/>
  <c r="K7" i="11"/>
  <c r="F39" i="11" l="1"/>
  <c r="F42" i="11" s="1"/>
  <c r="H39" i="11"/>
  <c r="H42" i="11" s="1"/>
  <c r="J39" i="11"/>
  <c r="K39" i="11" l="1"/>
  <c r="J42" i="11"/>
  <c r="K42" i="11" s="1"/>
  <c r="K43" i="11" l="1"/>
  <c r="K50" i="11"/>
  <c r="J11" i="4"/>
  <c r="J12" i="4"/>
  <c r="J15" i="4"/>
  <c r="J17" i="4"/>
  <c r="J18" i="4"/>
  <c r="J21" i="4"/>
  <c r="J25" i="4"/>
  <c r="J26" i="4"/>
  <c r="J27" i="4"/>
  <c r="J28" i="4"/>
  <c r="J29" i="4"/>
  <c r="J30" i="4"/>
  <c r="J31" i="4"/>
  <c r="J33" i="4"/>
  <c r="J34" i="4"/>
  <c r="J38" i="4"/>
  <c r="J40" i="4"/>
  <c r="J41" i="4"/>
  <c r="J42" i="4"/>
  <c r="J44" i="4"/>
  <c r="J45" i="4"/>
  <c r="J46" i="4"/>
  <c r="J48" i="4"/>
  <c r="J50" i="4"/>
  <c r="J52" i="4"/>
  <c r="J53" i="4"/>
  <c r="J54" i="4"/>
  <c r="J55" i="4"/>
  <c r="J56" i="4"/>
  <c r="J59" i="4"/>
  <c r="J60" i="4"/>
  <c r="J66" i="4"/>
  <c r="J68" i="4"/>
  <c r="J69" i="4"/>
  <c r="J70" i="4"/>
  <c r="J71" i="4"/>
  <c r="J72" i="4"/>
  <c r="J73" i="4"/>
  <c r="J76" i="4"/>
  <c r="J78" i="4"/>
  <c r="J79" i="4"/>
  <c r="J80" i="4"/>
  <c r="J81" i="4"/>
  <c r="J82" i="4"/>
  <c r="J83" i="4"/>
  <c r="J84" i="4"/>
  <c r="J123" i="4"/>
  <c r="J124" i="4"/>
  <c r="J125" i="4"/>
  <c r="J130" i="4"/>
  <c r="J135" i="4"/>
  <c r="J141" i="4"/>
  <c r="J144" i="4"/>
  <c r="J149" i="4"/>
  <c r="J150" i="4"/>
  <c r="J151" i="4"/>
  <c r="J152" i="4"/>
  <c r="J153" i="4"/>
  <c r="J154" i="4"/>
  <c r="J155" i="4"/>
  <c r="J164" i="4"/>
  <c r="J169" i="4"/>
  <c r="J172" i="4"/>
  <c r="J174" i="4"/>
  <c r="J182" i="4"/>
  <c r="J191" i="4"/>
  <c r="J192" i="4"/>
  <c r="J194" i="4"/>
  <c r="J196" i="4"/>
  <c r="J197" i="4"/>
  <c r="J208" i="4"/>
  <c r="J209" i="4"/>
  <c r="J210" i="4"/>
  <c r="J216" i="4"/>
  <c r="J218" i="4"/>
  <c r="J224" i="4"/>
  <c r="J226" i="4"/>
  <c r="J233" i="4"/>
  <c r="J234" i="4"/>
  <c r="J235" i="4"/>
  <c r="J236" i="4"/>
  <c r="J239" i="4"/>
  <c r="J240" i="4"/>
  <c r="J241" i="4"/>
  <c r="J243" i="4"/>
  <c r="J245" i="4"/>
  <c r="J246" i="4"/>
  <c r="J247" i="4"/>
  <c r="J248" i="4"/>
  <c r="J250" i="4"/>
  <c r="H11" i="4"/>
  <c r="H12" i="4"/>
  <c r="H15" i="4"/>
  <c r="H17" i="4"/>
  <c r="H18" i="4"/>
  <c r="H21" i="4"/>
  <c r="H25" i="4"/>
  <c r="H26" i="4"/>
  <c r="H27" i="4"/>
  <c r="H28" i="4"/>
  <c r="H29" i="4"/>
  <c r="H30" i="4"/>
  <c r="H31" i="4"/>
  <c r="H33" i="4"/>
  <c r="H34" i="4"/>
  <c r="H38" i="4"/>
  <c r="H40" i="4"/>
  <c r="H41" i="4"/>
  <c r="H42" i="4"/>
  <c r="H44" i="4"/>
  <c r="H45" i="4"/>
  <c r="H46" i="4"/>
  <c r="H48" i="4"/>
  <c r="H50" i="4"/>
  <c r="H52" i="4"/>
  <c r="H53" i="4"/>
  <c r="H54" i="4"/>
  <c r="H55" i="4"/>
  <c r="H56" i="4"/>
  <c r="H59" i="4"/>
  <c r="H60" i="4"/>
  <c r="H66" i="4"/>
  <c r="H68" i="4"/>
  <c r="H69" i="4"/>
  <c r="H70" i="4"/>
  <c r="H71" i="4"/>
  <c r="H72" i="4"/>
  <c r="H73" i="4"/>
  <c r="H76" i="4"/>
  <c r="H78" i="4"/>
  <c r="H79" i="4"/>
  <c r="H80" i="4"/>
  <c r="H81" i="4"/>
  <c r="H82" i="4"/>
  <c r="H83" i="4"/>
  <c r="H84" i="4"/>
  <c r="H123" i="4"/>
  <c r="H124" i="4"/>
  <c r="H125" i="4"/>
  <c r="H130" i="4"/>
  <c r="H135" i="4"/>
  <c r="H141" i="4"/>
  <c r="H144" i="4"/>
  <c r="H149" i="4"/>
  <c r="H150" i="4"/>
  <c r="H151" i="4"/>
  <c r="H152" i="4"/>
  <c r="H153" i="4"/>
  <c r="H154" i="4"/>
  <c r="H155" i="4"/>
  <c r="H164" i="4"/>
  <c r="H169" i="4"/>
  <c r="H172" i="4"/>
  <c r="H174" i="4"/>
  <c r="H182" i="4"/>
  <c r="H191" i="4"/>
  <c r="H192" i="4"/>
  <c r="H194" i="4"/>
  <c r="H196" i="4"/>
  <c r="H197" i="4"/>
  <c r="H208" i="4"/>
  <c r="H209" i="4"/>
  <c r="H210" i="4"/>
  <c r="H216" i="4"/>
  <c r="H218" i="4"/>
  <c r="H224" i="4"/>
  <c r="H226" i="4"/>
  <c r="H233" i="4"/>
  <c r="H234" i="4"/>
  <c r="H235" i="4"/>
  <c r="H236" i="4"/>
  <c r="H239" i="4"/>
  <c r="H240" i="4"/>
  <c r="H241" i="4"/>
  <c r="H243" i="4"/>
  <c r="H245" i="4"/>
  <c r="H246" i="4"/>
  <c r="H247" i="4"/>
  <c r="H248" i="4"/>
  <c r="H250" i="4"/>
  <c r="F11" i="4"/>
  <c r="F12" i="4"/>
  <c r="F15" i="4"/>
  <c r="F17" i="4"/>
  <c r="F18" i="4"/>
  <c r="F21" i="4"/>
  <c r="F25" i="4"/>
  <c r="F26" i="4"/>
  <c r="F27" i="4"/>
  <c r="F28" i="4"/>
  <c r="F29" i="4"/>
  <c r="F30" i="4"/>
  <c r="F31" i="4"/>
  <c r="F33" i="4"/>
  <c r="F34" i="4"/>
  <c r="F38" i="4"/>
  <c r="F40" i="4"/>
  <c r="F41" i="4"/>
  <c r="F42" i="4"/>
  <c r="F44" i="4"/>
  <c r="F45" i="4"/>
  <c r="F46" i="4"/>
  <c r="F48" i="4"/>
  <c r="F50" i="4"/>
  <c r="F52" i="4"/>
  <c r="F53" i="4"/>
  <c r="F54" i="4"/>
  <c r="F55" i="4"/>
  <c r="F56" i="4"/>
  <c r="F59" i="4"/>
  <c r="F60" i="4"/>
  <c r="F66" i="4"/>
  <c r="F69" i="4"/>
  <c r="F70" i="4"/>
  <c r="F71" i="4"/>
  <c r="F72" i="4"/>
  <c r="F73" i="4"/>
  <c r="F76" i="4"/>
  <c r="F78" i="4"/>
  <c r="F79" i="4"/>
  <c r="F80" i="4"/>
  <c r="F81" i="4"/>
  <c r="F82" i="4"/>
  <c r="F83" i="4"/>
  <c r="F84" i="4"/>
  <c r="F123" i="4"/>
  <c r="F124" i="4"/>
  <c r="F125" i="4"/>
  <c r="F130" i="4"/>
  <c r="F135" i="4"/>
  <c r="F141" i="4"/>
  <c r="F144" i="4"/>
  <c r="F149" i="4"/>
  <c r="F150" i="4"/>
  <c r="F151" i="4"/>
  <c r="F152" i="4"/>
  <c r="F153" i="4"/>
  <c r="F154" i="4"/>
  <c r="F155" i="4"/>
  <c r="F164" i="4"/>
  <c r="F169" i="4"/>
  <c r="F172" i="4"/>
  <c r="F174" i="4"/>
  <c r="F191" i="4"/>
  <c r="F192" i="4"/>
  <c r="F194" i="4"/>
  <c r="F196" i="4"/>
  <c r="F197" i="4"/>
  <c r="F208" i="4"/>
  <c r="F209" i="4"/>
  <c r="F210" i="4"/>
  <c r="F216" i="4"/>
  <c r="F218" i="4"/>
  <c r="F224" i="4"/>
  <c r="F226" i="4"/>
  <c r="F233" i="4"/>
  <c r="F234" i="4"/>
  <c r="F235" i="4"/>
  <c r="F236" i="4"/>
  <c r="F239" i="4"/>
  <c r="F240" i="4"/>
  <c r="F241" i="4"/>
  <c r="F243" i="4"/>
  <c r="F245" i="4"/>
  <c r="F246" i="4"/>
  <c r="F248" i="4"/>
  <c r="F250" i="4"/>
  <c r="D77" i="4"/>
  <c r="D75" i="4"/>
  <c r="F75" i="4" s="1"/>
  <c r="D74" i="4"/>
  <c r="J74" i="4" s="1"/>
  <c r="K218" i="4" l="1"/>
  <c r="K192" i="4"/>
  <c r="K169" i="4"/>
  <c r="K246" i="4"/>
  <c r="H74" i="4"/>
  <c r="J75" i="4"/>
  <c r="H75" i="4"/>
  <c r="F74" i="4"/>
  <c r="J77" i="4"/>
  <c r="H77" i="4"/>
  <c r="F77" i="4"/>
  <c r="K124" i="4"/>
  <c r="K250" i="4"/>
  <c r="K226" i="4"/>
  <c r="K141" i="4"/>
  <c r="K235" i="4"/>
  <c r="K208" i="4"/>
  <c r="K196" i="4"/>
  <c r="K153" i="4"/>
  <c r="K149" i="4"/>
  <c r="K81" i="4"/>
  <c r="K76" i="4"/>
  <c r="K70" i="4"/>
  <c r="K60" i="4"/>
  <c r="K54" i="4"/>
  <c r="K48" i="4"/>
  <c r="K42" i="4"/>
  <c r="K34" i="4"/>
  <c r="K29" i="4"/>
  <c r="K25" i="4"/>
  <c r="K15" i="4"/>
  <c r="K245" i="4"/>
  <c r="K241" i="4"/>
  <c r="K191" i="4"/>
  <c r="K172" i="4"/>
  <c r="K164" i="4"/>
  <c r="K152" i="4"/>
  <c r="K144" i="4"/>
  <c r="K123" i="4"/>
  <c r="K84" i="4"/>
  <c r="K80" i="4"/>
  <c r="K73" i="4"/>
  <c r="K69" i="4"/>
  <c r="K59" i="4"/>
  <c r="K53" i="4"/>
  <c r="K46" i="4"/>
  <c r="K41" i="4"/>
  <c r="K33" i="4"/>
  <c r="K28" i="4"/>
  <c r="K21" i="4"/>
  <c r="K12" i="4"/>
  <c r="K248" i="4"/>
  <c r="K240" i="4"/>
  <c r="K236" i="4"/>
  <c r="K234" i="4"/>
  <c r="K224" i="4"/>
  <c r="K216" i="4"/>
  <c r="K210" i="4"/>
  <c r="K194" i="4"/>
  <c r="K155" i="4"/>
  <c r="K151" i="4"/>
  <c r="K135" i="4"/>
  <c r="K83" i="4"/>
  <c r="K79" i="4"/>
  <c r="K72" i="4"/>
  <c r="K56" i="4"/>
  <c r="K52" i="4"/>
  <c r="K45" i="4"/>
  <c r="K40" i="4"/>
  <c r="K31" i="4"/>
  <c r="K27" i="4"/>
  <c r="K18" i="4"/>
  <c r="K11" i="4"/>
  <c r="K243" i="4"/>
  <c r="K239" i="4"/>
  <c r="K233" i="4"/>
  <c r="K209" i="4"/>
  <c r="K197" i="4"/>
  <c r="K174" i="4"/>
  <c r="K154" i="4"/>
  <c r="K150" i="4"/>
  <c r="K130" i="4"/>
  <c r="K125" i="4"/>
  <c r="K82" i="4"/>
  <c r="K78" i="4"/>
  <c r="K71" i="4"/>
  <c r="K66" i="4"/>
  <c r="K55" i="4"/>
  <c r="K50" i="4"/>
  <c r="K44" i="4"/>
  <c r="K38" i="4"/>
  <c r="K30" i="4"/>
  <c r="K26" i="4"/>
  <c r="K17" i="4"/>
  <c r="K44" i="11"/>
  <c r="K45" i="11" s="1"/>
  <c r="K46" i="11" s="1"/>
  <c r="K47" i="11" s="1"/>
  <c r="K48" i="11" s="1"/>
  <c r="K49" i="11" s="1"/>
  <c r="K51" i="11" s="1"/>
  <c r="K52" i="11" s="1"/>
  <c r="K53" i="11" s="1"/>
  <c r="F68" i="4"/>
  <c r="K68" i="4" s="1"/>
  <c r="D67" i="4"/>
  <c r="F67" i="4" l="1"/>
  <c r="K77" i="4"/>
  <c r="K74" i="4"/>
  <c r="J67" i="4"/>
  <c r="H67" i="4"/>
  <c r="K75" i="4"/>
  <c r="C13" i="6"/>
  <c r="J2" i="1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K67" i="4" l="1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J6" i="9"/>
  <c r="H6" i="9"/>
  <c r="F6" i="9"/>
  <c r="K49" i="9" l="1"/>
  <c r="K45" i="9"/>
  <c r="K21" i="9"/>
  <c r="K17" i="9"/>
  <c r="K13" i="9"/>
  <c r="K9" i="9"/>
  <c r="K36" i="9"/>
  <c r="K24" i="9"/>
  <c r="K32" i="9"/>
  <c r="K28" i="9"/>
  <c r="K38" i="9"/>
  <c r="K34" i="9"/>
  <c r="K30" i="9"/>
  <c r="K19" i="9"/>
  <c r="K15" i="9"/>
  <c r="K11" i="9"/>
  <c r="K8" i="9"/>
  <c r="K52" i="9"/>
  <c r="K48" i="9"/>
  <c r="K44" i="9"/>
  <c r="K41" i="9"/>
  <c r="K37" i="9"/>
  <c r="K33" i="9"/>
  <c r="K29" i="9"/>
  <c r="K18" i="9"/>
  <c r="K14" i="9"/>
  <c r="K10" i="9"/>
  <c r="K7" i="9"/>
  <c r="K50" i="9"/>
  <c r="K46" i="9"/>
  <c r="K42" i="9"/>
  <c r="K39" i="9"/>
  <c r="K35" i="9"/>
  <c r="K31" i="9"/>
  <c r="K27" i="9"/>
  <c r="K20" i="9"/>
  <c r="K16" i="9"/>
  <c r="K12" i="9"/>
  <c r="K51" i="9"/>
  <c r="K47" i="9"/>
  <c r="K43" i="9"/>
  <c r="K40" i="9"/>
  <c r="K25" i="9"/>
  <c r="K23" i="9"/>
  <c r="H53" i="9"/>
  <c r="K61" i="9" s="1"/>
  <c r="K22" i="9"/>
  <c r="K26" i="9"/>
  <c r="K6" i="9"/>
  <c r="J53" i="9" l="1"/>
  <c r="F53" i="9"/>
  <c r="K54" i="9" s="1"/>
  <c r="K53" i="9"/>
  <c r="K55" i="9" l="1"/>
  <c r="K56" i="9" s="1"/>
  <c r="K57" i="9" s="1"/>
  <c r="K58" i="9" s="1"/>
  <c r="K59" i="9" s="1"/>
  <c r="K60" i="9" s="1"/>
  <c r="K62" i="9" s="1"/>
  <c r="K63" i="9" s="1"/>
  <c r="K64" i="9" s="1"/>
  <c r="J2" i="9" s="1"/>
  <c r="J8" i="8"/>
  <c r="J9" i="8"/>
  <c r="J10" i="8"/>
  <c r="J11" i="8"/>
  <c r="J12" i="8"/>
  <c r="J13" i="8"/>
  <c r="J14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H8" i="8"/>
  <c r="H9" i="8"/>
  <c r="H10" i="8"/>
  <c r="H11" i="8"/>
  <c r="H12" i="8"/>
  <c r="H13" i="8"/>
  <c r="H14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F8" i="8"/>
  <c r="F9" i="8"/>
  <c r="F10" i="8"/>
  <c r="F11" i="8"/>
  <c r="F12" i="8"/>
  <c r="F13" i="8"/>
  <c r="F14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D15" i="8"/>
  <c r="F15" i="8" s="1"/>
  <c r="K18" i="8" l="1"/>
  <c r="K14" i="8"/>
  <c r="K10" i="8"/>
  <c r="K30" i="8"/>
  <c r="K26" i="8"/>
  <c r="K22" i="8"/>
  <c r="K28" i="8"/>
  <c r="K12" i="8"/>
  <c r="K27" i="8"/>
  <c r="K23" i="8"/>
  <c r="K19" i="8"/>
  <c r="J15" i="8"/>
  <c r="K15" i="8" s="1"/>
  <c r="K11" i="8"/>
  <c r="K9" i="8"/>
  <c r="K20" i="8"/>
  <c r="K8" i="8"/>
  <c r="K25" i="8"/>
  <c r="K17" i="8"/>
  <c r="H15" i="8"/>
  <c r="K13" i="8"/>
  <c r="K24" i="8"/>
  <c r="K16" i="8"/>
  <c r="K29" i="8"/>
  <c r="K21" i="8"/>
  <c r="C11" i="6"/>
  <c r="D195" i="4" l="1"/>
  <c r="D58" i="4"/>
  <c r="D63" i="4"/>
  <c r="D62" i="4"/>
  <c r="F63" i="4" l="1"/>
  <c r="J62" i="4"/>
  <c r="H62" i="4"/>
  <c r="F62" i="4"/>
  <c r="H195" i="4"/>
  <c r="J195" i="4"/>
  <c r="F195" i="4"/>
  <c r="J63" i="4"/>
  <c r="H63" i="4"/>
  <c r="J58" i="4"/>
  <c r="H58" i="4"/>
  <c r="F58" i="4"/>
  <c r="D64" i="4"/>
  <c r="D65" i="4"/>
  <c r="D61" i="4"/>
  <c r="J64" i="4" l="1"/>
  <c r="H64" i="4"/>
  <c r="F64" i="4"/>
  <c r="K63" i="4"/>
  <c r="J61" i="4"/>
  <c r="H61" i="4"/>
  <c r="F61" i="4"/>
  <c r="J65" i="4"/>
  <c r="F65" i="4"/>
  <c r="H65" i="4"/>
  <c r="K58" i="4"/>
  <c r="K195" i="4"/>
  <c r="K62" i="4"/>
  <c r="J8" i="7"/>
  <c r="J9" i="7"/>
  <c r="J10" i="7"/>
  <c r="J11" i="7"/>
  <c r="J12" i="7"/>
  <c r="J13" i="7"/>
  <c r="J14" i="7"/>
  <c r="J15" i="7"/>
  <c r="H8" i="7"/>
  <c r="H9" i="7"/>
  <c r="H10" i="7"/>
  <c r="H11" i="7"/>
  <c r="H12" i="7"/>
  <c r="H13" i="7"/>
  <c r="H14" i="7"/>
  <c r="H15" i="7"/>
  <c r="F8" i="7"/>
  <c r="F9" i="7"/>
  <c r="F10" i="7"/>
  <c r="F11" i="7"/>
  <c r="F12" i="7"/>
  <c r="F13" i="7"/>
  <c r="F14" i="7"/>
  <c r="F15" i="7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F7" i="5"/>
  <c r="F8" i="5"/>
  <c r="F9" i="5"/>
  <c r="F10" i="5"/>
  <c r="F11" i="5"/>
  <c r="F12" i="5"/>
  <c r="F13" i="5"/>
  <c r="F15" i="5"/>
  <c r="F16" i="5"/>
  <c r="F17" i="5"/>
  <c r="F18" i="5"/>
  <c r="F19" i="5"/>
  <c r="F20" i="5"/>
  <c r="F21" i="5"/>
  <c r="F22" i="5"/>
  <c r="F23" i="5"/>
  <c r="F24" i="5"/>
  <c r="F25" i="5"/>
  <c r="F26" i="5"/>
  <c r="K14" i="7" l="1"/>
  <c r="K10" i="7"/>
  <c r="K65" i="4"/>
  <c r="K13" i="7"/>
  <c r="K9" i="7"/>
  <c r="K12" i="7"/>
  <c r="K8" i="7"/>
  <c r="K15" i="7"/>
  <c r="K11" i="7"/>
  <c r="K24" i="5"/>
  <c r="K16" i="5"/>
  <c r="K12" i="5"/>
  <c r="K61" i="4"/>
  <c r="K64" i="4"/>
  <c r="K20" i="5"/>
  <c r="K26" i="5"/>
  <c r="K18" i="5"/>
  <c r="K21" i="5"/>
  <c r="K13" i="5"/>
  <c r="K22" i="5"/>
  <c r="K10" i="5"/>
  <c r="K25" i="5"/>
  <c r="K17" i="5"/>
  <c r="K9" i="5"/>
  <c r="K23" i="5"/>
  <c r="K19" i="5"/>
  <c r="K15" i="5"/>
  <c r="K11" i="5"/>
  <c r="K8" i="5"/>
  <c r="K7" i="5"/>
  <c r="F14" i="5" l="1"/>
  <c r="K14" i="5" s="1"/>
  <c r="D249" i="4" l="1"/>
  <c r="F247" i="4"/>
  <c r="K247" i="4" s="1"/>
  <c r="D244" i="4"/>
  <c r="D237" i="4"/>
  <c r="J237" i="4" l="1"/>
  <c r="H237" i="4"/>
  <c r="F237" i="4"/>
  <c r="J244" i="4"/>
  <c r="H244" i="4"/>
  <c r="F244" i="4"/>
  <c r="D251" i="4" s="1"/>
  <c r="J249" i="4"/>
  <c r="H249" i="4"/>
  <c r="F249" i="4"/>
  <c r="D238" i="4"/>
  <c r="K244" i="4" l="1"/>
  <c r="H238" i="4"/>
  <c r="J238" i="4"/>
  <c r="F238" i="4"/>
  <c r="K249" i="4"/>
  <c r="F251" i="4"/>
  <c r="J251" i="4"/>
  <c r="H251" i="4"/>
  <c r="K237" i="4"/>
  <c r="D57" i="4"/>
  <c r="K251" i="4" l="1"/>
  <c r="J57" i="4"/>
  <c r="F57" i="4"/>
  <c r="H57" i="4"/>
  <c r="K238" i="4"/>
  <c r="K57" i="4" l="1"/>
  <c r="D228" i="4" l="1"/>
  <c r="D230" i="4"/>
  <c r="D231" i="4"/>
  <c r="D227" i="4"/>
  <c r="D232" i="4"/>
  <c r="D229" i="4"/>
  <c r="D219" i="4"/>
  <c r="D225" i="4"/>
  <c r="D223" i="4"/>
  <c r="D222" i="4"/>
  <c r="D220" i="4"/>
  <c r="J219" i="4" l="1"/>
  <c r="H219" i="4"/>
  <c r="F219" i="4"/>
  <c r="J229" i="4"/>
  <c r="H229" i="4"/>
  <c r="F229" i="4"/>
  <c r="J220" i="4"/>
  <c r="H220" i="4"/>
  <c r="F220" i="4"/>
  <c r="H230" i="4"/>
  <c r="F230" i="4"/>
  <c r="J230" i="4"/>
  <c r="J223" i="4"/>
  <c r="H223" i="4"/>
  <c r="F223" i="4"/>
  <c r="J232" i="4"/>
  <c r="H232" i="4"/>
  <c r="F232" i="4"/>
  <c r="J228" i="4"/>
  <c r="H228" i="4"/>
  <c r="F228" i="4"/>
  <c r="J231" i="4"/>
  <c r="F231" i="4"/>
  <c r="H231" i="4"/>
  <c r="H222" i="4"/>
  <c r="F222" i="4"/>
  <c r="J222" i="4"/>
  <c r="J225" i="4"/>
  <c r="F225" i="4"/>
  <c r="H225" i="4"/>
  <c r="J227" i="4"/>
  <c r="H227" i="4"/>
  <c r="F227" i="4"/>
  <c r="D221" i="4"/>
  <c r="D217" i="4"/>
  <c r="D215" i="4"/>
  <c r="D214" i="4"/>
  <c r="D212" i="4"/>
  <c r="D211" i="4"/>
  <c r="K227" i="4" l="1"/>
  <c r="K222" i="4"/>
  <c r="K232" i="4"/>
  <c r="K230" i="4"/>
  <c r="K229" i="4"/>
  <c r="J221" i="4"/>
  <c r="F221" i="4"/>
  <c r="H221" i="4"/>
  <c r="J212" i="4"/>
  <c r="H212" i="4"/>
  <c r="F212" i="4"/>
  <c r="H214" i="4"/>
  <c r="J214" i="4"/>
  <c r="F214" i="4"/>
  <c r="K231" i="4"/>
  <c r="K220" i="4"/>
  <c r="H211" i="4"/>
  <c r="F211" i="4"/>
  <c r="J211" i="4"/>
  <c r="J215" i="4"/>
  <c r="H215" i="4"/>
  <c r="F215" i="4"/>
  <c r="K228" i="4"/>
  <c r="J217" i="4"/>
  <c r="F217" i="4"/>
  <c r="H217" i="4"/>
  <c r="K225" i="4"/>
  <c r="K223" i="4"/>
  <c r="K219" i="4"/>
  <c r="D213" i="4"/>
  <c r="K217" i="4" l="1"/>
  <c r="K214" i="4"/>
  <c r="K212" i="4"/>
  <c r="K215" i="4"/>
  <c r="J213" i="4"/>
  <c r="H213" i="4"/>
  <c r="F213" i="4"/>
  <c r="K211" i="4"/>
  <c r="K221" i="4"/>
  <c r="D202" i="4"/>
  <c r="D200" i="4"/>
  <c r="D201" i="4"/>
  <c r="F182" i="4"/>
  <c r="K182" i="4" s="1"/>
  <c r="D193" i="4"/>
  <c r="D47" i="4"/>
  <c r="D39" i="4"/>
  <c r="D49" i="4"/>
  <c r="J193" i="4" l="1"/>
  <c r="F193" i="4"/>
  <c r="H193" i="4"/>
  <c r="J47" i="4"/>
  <c r="H47" i="4"/>
  <c r="F47" i="4"/>
  <c r="J202" i="4"/>
  <c r="H202" i="4"/>
  <c r="F202" i="4"/>
  <c r="K213" i="4"/>
  <c r="J201" i="4"/>
  <c r="H201" i="4"/>
  <c r="F201" i="4"/>
  <c r="H200" i="4"/>
  <c r="F200" i="4"/>
  <c r="J200" i="4"/>
  <c r="J49" i="4"/>
  <c r="F49" i="4"/>
  <c r="H49" i="4"/>
  <c r="J39" i="4"/>
  <c r="H39" i="4"/>
  <c r="F39" i="4"/>
  <c r="J198" i="4"/>
  <c r="F198" i="4"/>
  <c r="H198" i="4"/>
  <c r="D43" i="4"/>
  <c r="D51" i="4"/>
  <c r="K39" i="4" l="1"/>
  <c r="K200" i="4"/>
  <c r="K47" i="4"/>
  <c r="J51" i="4"/>
  <c r="H51" i="4"/>
  <c r="F51" i="4"/>
  <c r="K201" i="4"/>
  <c r="K202" i="4"/>
  <c r="K198" i="4"/>
  <c r="J43" i="4"/>
  <c r="H43" i="4"/>
  <c r="F43" i="4"/>
  <c r="K49" i="4"/>
  <c r="K193" i="4"/>
  <c r="D181" i="4"/>
  <c r="D190" i="4"/>
  <c r="D188" i="4"/>
  <c r="D187" i="4"/>
  <c r="D184" i="4"/>
  <c r="D185" i="4"/>
  <c r="D180" i="4"/>
  <c r="D179" i="4"/>
  <c r="D178" i="4"/>
  <c r="D177" i="4"/>
  <c r="D165" i="4"/>
  <c r="D173" i="4"/>
  <c r="D140" i="4"/>
  <c r="D170" i="4"/>
  <c r="D183" i="4" l="1"/>
  <c r="H184" i="4"/>
  <c r="J184" i="4"/>
  <c r="F184" i="4"/>
  <c r="K43" i="4"/>
  <c r="H173" i="4"/>
  <c r="F173" i="4"/>
  <c r="J173" i="4"/>
  <c r="H181" i="4"/>
  <c r="J181" i="4"/>
  <c r="F181" i="4"/>
  <c r="J179" i="4"/>
  <c r="H179" i="4"/>
  <c r="F179" i="4"/>
  <c r="H187" i="4"/>
  <c r="J187" i="4"/>
  <c r="F187" i="4"/>
  <c r="J170" i="4"/>
  <c r="H170" i="4"/>
  <c r="F170" i="4"/>
  <c r="H176" i="4"/>
  <c r="J176" i="4"/>
  <c r="F176" i="4"/>
  <c r="H180" i="4"/>
  <c r="J180" i="4"/>
  <c r="F180" i="4"/>
  <c r="H188" i="4"/>
  <c r="J188" i="4"/>
  <c r="F188" i="4"/>
  <c r="J178" i="4"/>
  <c r="H178" i="4"/>
  <c r="F178" i="4"/>
  <c r="H165" i="4"/>
  <c r="F165" i="4"/>
  <c r="J165" i="4"/>
  <c r="H140" i="4"/>
  <c r="J140" i="4"/>
  <c r="F140" i="4"/>
  <c r="H177" i="4"/>
  <c r="F177" i="4"/>
  <c r="J177" i="4"/>
  <c r="H185" i="4"/>
  <c r="F185" i="4"/>
  <c r="J185" i="4"/>
  <c r="J190" i="4"/>
  <c r="H190" i="4"/>
  <c r="F190" i="4"/>
  <c r="K51" i="4"/>
  <c r="D171" i="4"/>
  <c r="D168" i="4"/>
  <c r="D186" i="4"/>
  <c r="D189" i="4"/>
  <c r="D175" i="4"/>
  <c r="D166" i="4"/>
  <c r="K173" i="4" l="1"/>
  <c r="K190" i="4"/>
  <c r="K177" i="4"/>
  <c r="K140" i="4"/>
  <c r="K180" i="4"/>
  <c r="K185" i="4"/>
  <c r="J183" i="4"/>
  <c r="H183" i="4"/>
  <c r="F183" i="4"/>
  <c r="K188" i="4"/>
  <c r="K187" i="4"/>
  <c r="K179" i="4"/>
  <c r="J171" i="4"/>
  <c r="H171" i="4"/>
  <c r="F171" i="4"/>
  <c r="J189" i="4"/>
  <c r="F189" i="4"/>
  <c r="H189" i="4"/>
  <c r="J166" i="4"/>
  <c r="H166" i="4"/>
  <c r="F166" i="4"/>
  <c r="J186" i="4"/>
  <c r="F186" i="4"/>
  <c r="H186" i="4"/>
  <c r="K165" i="4"/>
  <c r="K184" i="4"/>
  <c r="J175" i="4"/>
  <c r="H175" i="4"/>
  <c r="F175" i="4"/>
  <c r="H168" i="4"/>
  <c r="J168" i="4"/>
  <c r="F168" i="4"/>
  <c r="K178" i="4"/>
  <c r="K176" i="4"/>
  <c r="K170" i="4"/>
  <c r="K181" i="4"/>
  <c r="D167" i="4"/>
  <c r="D143" i="4"/>
  <c r="D134" i="4"/>
  <c r="D126" i="4"/>
  <c r="D85" i="4"/>
  <c r="K186" i="4" l="1"/>
  <c r="K171" i="4"/>
  <c r="J143" i="4"/>
  <c r="H143" i="4"/>
  <c r="F143" i="4"/>
  <c r="J85" i="4"/>
  <c r="H85" i="4"/>
  <c r="F85" i="4"/>
  <c r="J126" i="4"/>
  <c r="F126" i="4"/>
  <c r="H126" i="4"/>
  <c r="K189" i="4"/>
  <c r="J35" i="4"/>
  <c r="H35" i="4"/>
  <c r="F35" i="4"/>
  <c r="J167" i="4"/>
  <c r="H167" i="4"/>
  <c r="F167" i="4"/>
  <c r="J134" i="4"/>
  <c r="F134" i="4"/>
  <c r="H134" i="4"/>
  <c r="K168" i="4"/>
  <c r="K175" i="4"/>
  <c r="K166" i="4"/>
  <c r="K183" i="4"/>
  <c r="D93" i="4"/>
  <c r="D109" i="4"/>
  <c r="D108" i="4"/>
  <c r="D116" i="4"/>
  <c r="D115" i="4"/>
  <c r="D105" i="4"/>
  <c r="D102" i="4"/>
  <c r="D94" i="4"/>
  <c r="D95" i="4"/>
  <c r="D88" i="4"/>
  <c r="K85" i="4" l="1"/>
  <c r="K35" i="4"/>
  <c r="K126" i="4"/>
  <c r="J115" i="4"/>
  <c r="H115" i="4"/>
  <c r="F115" i="4"/>
  <c r="J116" i="4"/>
  <c r="H116" i="4"/>
  <c r="F116" i="4"/>
  <c r="J108" i="4"/>
  <c r="H108" i="4"/>
  <c r="F108" i="4"/>
  <c r="K167" i="4"/>
  <c r="J94" i="4"/>
  <c r="H94" i="4"/>
  <c r="F94" i="4"/>
  <c r="J102" i="4"/>
  <c r="F102" i="4"/>
  <c r="H102" i="4"/>
  <c r="J88" i="4"/>
  <c r="H88" i="4"/>
  <c r="F88" i="4"/>
  <c r="J105" i="4"/>
  <c r="F105" i="4"/>
  <c r="H105" i="4"/>
  <c r="J109" i="4"/>
  <c r="H109" i="4"/>
  <c r="F109" i="4"/>
  <c r="K134" i="4"/>
  <c r="K143" i="4"/>
  <c r="J95" i="4"/>
  <c r="H95" i="4"/>
  <c r="F95" i="4"/>
  <c r="J93" i="4"/>
  <c r="H93" i="4"/>
  <c r="F93" i="4"/>
  <c r="D97" i="4"/>
  <c r="D92" i="4"/>
  <c r="D86" i="4"/>
  <c r="D87" i="4"/>
  <c r="D100" i="4"/>
  <c r="D101" i="4"/>
  <c r="D103" i="4"/>
  <c r="D104" i="4"/>
  <c r="D107" i="4"/>
  <c r="D120" i="4"/>
  <c r="D117" i="4"/>
  <c r="D118" i="4"/>
  <c r="D119" i="4"/>
  <c r="D122" i="4"/>
  <c r="D127" i="4"/>
  <c r="D128" i="4"/>
  <c r="D129" i="4"/>
  <c r="D132" i="4"/>
  <c r="D133" i="4"/>
  <c r="D137" i="4"/>
  <c r="D138" i="4"/>
  <c r="D142" i="4"/>
  <c r="D156" i="4"/>
  <c r="D157" i="4"/>
  <c r="D158" i="4"/>
  <c r="D159" i="4"/>
  <c r="D160" i="4"/>
  <c r="D161" i="4"/>
  <c r="D162" i="4"/>
  <c r="D163" i="4"/>
  <c r="D242" i="4"/>
  <c r="D13" i="4"/>
  <c r="D32" i="4"/>
  <c r="D36" i="4" s="1"/>
  <c r="D23" i="4"/>
  <c r="D24" i="4"/>
  <c r="D22" i="4"/>
  <c r="D20" i="4"/>
  <c r="D19" i="4"/>
  <c r="K95" i="4" l="1"/>
  <c r="K105" i="4"/>
  <c r="K116" i="4"/>
  <c r="J19" i="4"/>
  <c r="H19" i="4"/>
  <c r="F19" i="4"/>
  <c r="H133" i="4"/>
  <c r="F133" i="4"/>
  <c r="J133" i="4"/>
  <c r="J16" i="4"/>
  <c r="H16" i="4"/>
  <c r="F16" i="4"/>
  <c r="H132" i="4"/>
  <c r="J132" i="4"/>
  <c r="F132" i="4"/>
  <c r="J101" i="4"/>
  <c r="H101" i="4"/>
  <c r="F101" i="4"/>
  <c r="K93" i="4"/>
  <c r="K109" i="4"/>
  <c r="K94" i="4"/>
  <c r="K108" i="4"/>
  <c r="J23" i="4"/>
  <c r="H23" i="4"/>
  <c r="F23" i="4"/>
  <c r="H160" i="4"/>
  <c r="J160" i="4"/>
  <c r="F160" i="4"/>
  <c r="J127" i="4"/>
  <c r="H127" i="4"/>
  <c r="F127" i="4"/>
  <c r="J103" i="4"/>
  <c r="H103" i="4"/>
  <c r="F103" i="4"/>
  <c r="J163" i="4"/>
  <c r="H163" i="4"/>
  <c r="F163" i="4"/>
  <c r="J142" i="4"/>
  <c r="H142" i="4"/>
  <c r="F142" i="4"/>
  <c r="J120" i="4"/>
  <c r="H120" i="4"/>
  <c r="F120" i="4"/>
  <c r="J22" i="4"/>
  <c r="H22" i="4"/>
  <c r="F22" i="4"/>
  <c r="J32" i="4"/>
  <c r="H32" i="4"/>
  <c r="F32" i="4"/>
  <c r="J162" i="4"/>
  <c r="F162" i="4"/>
  <c r="H162" i="4"/>
  <c r="J158" i="4"/>
  <c r="H158" i="4"/>
  <c r="F158" i="4"/>
  <c r="J138" i="4"/>
  <c r="H138" i="4"/>
  <c r="F138" i="4"/>
  <c r="H129" i="4"/>
  <c r="J129" i="4"/>
  <c r="F129" i="4"/>
  <c r="J119" i="4"/>
  <c r="F119" i="4"/>
  <c r="H119" i="4"/>
  <c r="J107" i="4"/>
  <c r="H107" i="4"/>
  <c r="F107" i="4"/>
  <c r="J100" i="4"/>
  <c r="H100" i="4"/>
  <c r="F100" i="4"/>
  <c r="J97" i="4"/>
  <c r="F97" i="4"/>
  <c r="H97" i="4"/>
  <c r="K102" i="4"/>
  <c r="H242" i="4"/>
  <c r="F242" i="4"/>
  <c r="J242" i="4"/>
  <c r="H156" i="4"/>
  <c r="J156" i="4"/>
  <c r="F156" i="4"/>
  <c r="J117" i="4"/>
  <c r="H117" i="4"/>
  <c r="F117" i="4"/>
  <c r="J86" i="4"/>
  <c r="H86" i="4"/>
  <c r="F86" i="4"/>
  <c r="J20" i="4"/>
  <c r="H20" i="4"/>
  <c r="F20" i="4"/>
  <c r="J159" i="4"/>
  <c r="H159" i="4"/>
  <c r="F159" i="4"/>
  <c r="J122" i="4"/>
  <c r="F122" i="4"/>
  <c r="H122" i="4"/>
  <c r="J92" i="4"/>
  <c r="H92" i="4"/>
  <c r="F92" i="4"/>
  <c r="J24" i="4"/>
  <c r="H24" i="4"/>
  <c r="F24" i="4"/>
  <c r="J13" i="4"/>
  <c r="H13" i="4"/>
  <c r="F13" i="4"/>
  <c r="H161" i="4"/>
  <c r="J161" i="4"/>
  <c r="F161" i="4"/>
  <c r="H157" i="4"/>
  <c r="F157" i="4"/>
  <c r="J157" i="4"/>
  <c r="H137" i="4"/>
  <c r="J137" i="4"/>
  <c r="F137" i="4"/>
  <c r="H128" i="4"/>
  <c r="J128" i="4"/>
  <c r="F128" i="4"/>
  <c r="J118" i="4"/>
  <c r="H118" i="4"/>
  <c r="F118" i="4"/>
  <c r="J104" i="4"/>
  <c r="H104" i="4"/>
  <c r="F104" i="4"/>
  <c r="J87" i="4"/>
  <c r="H87" i="4"/>
  <c r="F87" i="4"/>
  <c r="K88" i="4"/>
  <c r="K115" i="4"/>
  <c r="D139" i="4"/>
  <c r="D96" i="4"/>
  <c r="D89" i="4"/>
  <c r="D98" i="4"/>
  <c r="D146" i="4"/>
  <c r="D148" i="4"/>
  <c r="D206" i="4"/>
  <c r="D131" i="4"/>
  <c r="D204" i="4"/>
  <c r="D199" i="4"/>
  <c r="D205" i="4"/>
  <c r="D121" i="4"/>
  <c r="D110" i="4"/>
  <c r="D114" i="4"/>
  <c r="D207" i="4"/>
  <c r="D203" i="4"/>
  <c r="D147" i="4"/>
  <c r="D136" i="4"/>
  <c r="D113" i="4"/>
  <c r="D112" i="4"/>
  <c r="D111" i="4"/>
  <c r="D99" i="4"/>
  <c r="D14" i="4"/>
  <c r="J10" i="4"/>
  <c r="H10" i="4"/>
  <c r="F10" i="4"/>
  <c r="K104" i="4" l="1"/>
  <c r="K92" i="4"/>
  <c r="K86" i="4"/>
  <c r="K100" i="4"/>
  <c r="K138" i="4"/>
  <c r="K22" i="4"/>
  <c r="K24" i="4"/>
  <c r="K156" i="4"/>
  <c r="K97" i="4"/>
  <c r="K32" i="4"/>
  <c r="K163" i="4"/>
  <c r="K128" i="4"/>
  <c r="K87" i="4"/>
  <c r="K20" i="4"/>
  <c r="K160" i="4"/>
  <c r="K23" i="4"/>
  <c r="J36" i="4"/>
  <c r="H36" i="4"/>
  <c r="F36" i="4"/>
  <c r="J111" i="4"/>
  <c r="H111" i="4"/>
  <c r="F111" i="4"/>
  <c r="J147" i="4"/>
  <c r="H147" i="4"/>
  <c r="F147" i="4"/>
  <c r="J110" i="4"/>
  <c r="H110" i="4"/>
  <c r="F110" i="4"/>
  <c r="H204" i="4"/>
  <c r="F204" i="4"/>
  <c r="J204" i="4"/>
  <c r="H148" i="4"/>
  <c r="J148" i="4"/>
  <c r="F148" i="4"/>
  <c r="J96" i="4"/>
  <c r="H96" i="4"/>
  <c r="F96" i="4"/>
  <c r="K157" i="4"/>
  <c r="K161" i="4"/>
  <c r="K13" i="4"/>
  <c r="K159" i="4"/>
  <c r="K119" i="4"/>
  <c r="K162" i="4"/>
  <c r="K142" i="4"/>
  <c r="K132" i="4"/>
  <c r="K16" i="4"/>
  <c r="H136" i="4"/>
  <c r="J136" i="4"/>
  <c r="F136" i="4"/>
  <c r="J114" i="4"/>
  <c r="F114" i="4"/>
  <c r="H114" i="4"/>
  <c r="J89" i="4"/>
  <c r="F89" i="4"/>
  <c r="H89" i="4"/>
  <c r="J112" i="4"/>
  <c r="H112" i="4"/>
  <c r="F112" i="4"/>
  <c r="J203" i="4"/>
  <c r="H203" i="4"/>
  <c r="F203" i="4"/>
  <c r="J121" i="4"/>
  <c r="H121" i="4"/>
  <c r="F121" i="4"/>
  <c r="J131" i="4"/>
  <c r="F131" i="4"/>
  <c r="H131" i="4"/>
  <c r="J146" i="4"/>
  <c r="F146" i="4"/>
  <c r="H146" i="4"/>
  <c r="J139" i="4"/>
  <c r="H139" i="4"/>
  <c r="F139" i="4"/>
  <c r="K118" i="4"/>
  <c r="K122" i="4"/>
  <c r="K117" i="4"/>
  <c r="K242" i="4"/>
  <c r="K107" i="4"/>
  <c r="K158" i="4"/>
  <c r="K120" i="4"/>
  <c r="K127" i="4"/>
  <c r="K133" i="4"/>
  <c r="J99" i="4"/>
  <c r="H99" i="4"/>
  <c r="F99" i="4"/>
  <c r="H199" i="4"/>
  <c r="J199" i="4"/>
  <c r="F199" i="4"/>
  <c r="J14" i="4"/>
  <c r="H14" i="4"/>
  <c r="F14" i="4"/>
  <c r="J113" i="4"/>
  <c r="H113" i="4"/>
  <c r="F113" i="4"/>
  <c r="J207" i="4"/>
  <c r="H207" i="4"/>
  <c r="F207" i="4"/>
  <c r="J205" i="4"/>
  <c r="F205" i="4"/>
  <c r="H205" i="4"/>
  <c r="J206" i="4"/>
  <c r="H206" i="4"/>
  <c r="F206" i="4"/>
  <c r="J98" i="4"/>
  <c r="H98" i="4"/>
  <c r="F98" i="4"/>
  <c r="K137" i="4"/>
  <c r="K129" i="4"/>
  <c r="K103" i="4"/>
  <c r="K101" i="4"/>
  <c r="K19" i="4"/>
  <c r="D37" i="4"/>
  <c r="D91" i="4"/>
  <c r="D90" i="4"/>
  <c r="D145" i="4"/>
  <c r="K10" i="4"/>
  <c r="K98" i="4" l="1"/>
  <c r="K113" i="4"/>
  <c r="K146" i="4"/>
  <c r="K112" i="4"/>
  <c r="K136" i="4"/>
  <c r="K111" i="4"/>
  <c r="K204" i="4"/>
  <c r="J37" i="4"/>
  <c r="F37" i="4"/>
  <c r="H37" i="4"/>
  <c r="K203" i="4"/>
  <c r="K96" i="4"/>
  <c r="K147" i="4"/>
  <c r="K207" i="4"/>
  <c r="K199" i="4"/>
  <c r="K139" i="4"/>
  <c r="J90" i="4"/>
  <c r="H90" i="4"/>
  <c r="F90" i="4"/>
  <c r="K205" i="4"/>
  <c r="K121" i="4"/>
  <c r="K114" i="4"/>
  <c r="K110" i="4"/>
  <c r="H145" i="4"/>
  <c r="F145" i="4"/>
  <c r="J145" i="4"/>
  <c r="K99" i="4"/>
  <c r="J91" i="4"/>
  <c r="H91" i="4"/>
  <c r="F91" i="4"/>
  <c r="K206" i="4"/>
  <c r="K14" i="4"/>
  <c r="K131" i="4"/>
  <c r="K89" i="4"/>
  <c r="K148" i="4"/>
  <c r="K36" i="4"/>
  <c r="K145" i="4" l="1"/>
  <c r="F253" i="4"/>
  <c r="K90" i="4"/>
  <c r="K91" i="4"/>
  <c r="K37" i="4"/>
  <c r="J253" i="4"/>
  <c r="H253" i="4"/>
  <c r="K253" i="4" l="1"/>
  <c r="J7" i="8" l="1"/>
  <c r="J31" i="8" s="1"/>
  <c r="H7" i="8"/>
  <c r="H31" i="8" s="1"/>
  <c r="F7" i="8"/>
  <c r="F31" i="8" s="1"/>
  <c r="K7" i="8" l="1"/>
  <c r="K31" i="8" s="1"/>
  <c r="J7" i="7" l="1"/>
  <c r="J16" i="7" s="1"/>
  <c r="H7" i="7"/>
  <c r="H16" i="7" s="1"/>
  <c r="F7" i="7"/>
  <c r="F16" i="7" s="1"/>
  <c r="K7" i="7" l="1"/>
  <c r="K16" i="7" s="1"/>
  <c r="K39" i="8"/>
  <c r="K24" i="7"/>
  <c r="K32" i="8"/>
  <c r="K33" i="8" l="1"/>
  <c r="K17" i="7"/>
  <c r="K34" i="8" l="1"/>
  <c r="K35" i="8" s="1"/>
  <c r="K36" i="8" s="1"/>
  <c r="K37" i="8" s="1"/>
  <c r="K38" i="8" s="1"/>
  <c r="K40" i="8" s="1"/>
  <c r="K41" i="8" s="1"/>
  <c r="K42" i="8" s="1"/>
  <c r="K18" i="7"/>
  <c r="D27" i="5"/>
  <c r="J6" i="5"/>
  <c r="H6" i="5"/>
  <c r="F6" i="5"/>
  <c r="K19" i="7" l="1"/>
  <c r="K20" i="7" s="1"/>
  <c r="K21" i="7" s="1"/>
  <c r="K22" i="7" s="1"/>
  <c r="K23" i="7" s="1"/>
  <c r="K25" i="7" s="1"/>
  <c r="K26" i="7" s="1"/>
  <c r="K27" i="7" s="1"/>
  <c r="C9" i="6" s="1"/>
  <c r="F27" i="5"/>
  <c r="J27" i="5"/>
  <c r="H27" i="5"/>
  <c r="J2" i="8"/>
  <c r="C10" i="6"/>
  <c r="K6" i="5"/>
  <c r="J2" i="7" l="1"/>
  <c r="K27" i="5"/>
  <c r="K28" i="5" s="1"/>
  <c r="J28" i="5"/>
  <c r="H28" i="5" l="1"/>
  <c r="F28" i="5"/>
  <c r="K29" i="5" s="1"/>
  <c r="K30" i="5" s="1"/>
  <c r="K31" i="5" s="1"/>
  <c r="K36" i="5" l="1"/>
  <c r="K32" i="5"/>
  <c r="K33" i="5" s="1"/>
  <c r="K34" i="5" s="1"/>
  <c r="K35" i="5" s="1"/>
  <c r="K37" i="5" l="1"/>
  <c r="K38" i="5" s="1"/>
  <c r="K39" i="5" s="1"/>
  <c r="C8" i="6" s="1"/>
  <c r="J2" i="5" l="1"/>
  <c r="K254" i="4" l="1"/>
  <c r="K261" i="4" l="1"/>
  <c r="K255" i="4" l="1"/>
  <c r="K256" i="4" s="1"/>
  <c r="K257" i="4" s="1"/>
  <c r="K258" i="4" s="1"/>
  <c r="K259" i="4" s="1"/>
  <c r="K260" i="4" l="1"/>
  <c r="K262" i="4" s="1"/>
  <c r="K263" i="4" s="1"/>
  <c r="K264" i="4" s="1"/>
  <c r="J5" i="4" s="1"/>
  <c r="C7" i="6" s="1"/>
</calcChain>
</file>

<file path=xl/sharedStrings.xml><?xml version="1.0" encoding="utf-8"?>
<sst xmlns="http://schemas.openxmlformats.org/spreadsheetml/2006/main" count="1126" uniqueCount="455">
  <si>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</si>
  <si>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</si>
  <si>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</si>
  <si>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</si>
  <si>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</si>
  <si>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</si>
  <si>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</si>
  <si>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</si>
  <si>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</si>
  <si>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</si>
  <si>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</si>
  <si>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</si>
  <si>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</si>
  <si>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</si>
  <si>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</si>
  <si>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</si>
  <si>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</si>
  <si>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</si>
  <si>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</si>
  <si>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</si>
  <si>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</si>
  <si>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ცალი</t>
  </si>
  <si>
    <t xml:space="preserve">ფითხი   </t>
  </si>
  <si>
    <t xml:space="preserve">ზუმფარა     0.009 </t>
  </si>
  <si>
    <t>საპენსიო დანარიცხები</t>
  </si>
  <si>
    <t>2. სამშენებლო  სამუშაოები</t>
  </si>
  <si>
    <t xml:space="preserve">წებოცემენტი   </t>
  </si>
  <si>
    <t>ფუგა     0.04</t>
  </si>
  <si>
    <t xml:space="preserve">მანქანა/მექანიზმი და სხვა მანქანები </t>
  </si>
  <si>
    <t>სამღებრო ბადე ლენტა</t>
  </si>
  <si>
    <t>სამღებრო კუთხოვანა</t>
  </si>
  <si>
    <t xml:space="preserve">ხარჯთაღრიცხვა </t>
  </si>
  <si>
    <t>მ³</t>
  </si>
  <si>
    <t>ფილების სამონტაჟო დეტალები პლასტიკატის</t>
  </si>
  <si>
    <t>თვითსწორებადი იატაკის ფხვნილი</t>
  </si>
  <si>
    <t>საიზოლაციო ლენტი იატაკის პროფილზე</t>
  </si>
  <si>
    <t>ცალ</t>
  </si>
  <si>
    <r>
      <t>მ</t>
    </r>
    <r>
      <rPr>
        <sz val="9"/>
        <color theme="1"/>
        <rFont val="Cambria"/>
        <family val="1"/>
        <charset val="204"/>
      </rPr>
      <t>³</t>
    </r>
  </si>
  <si>
    <r>
      <t>მ</t>
    </r>
    <r>
      <rPr>
        <sz val="9"/>
        <color theme="1"/>
        <rFont val="Cambria"/>
        <family val="1"/>
        <charset val="204"/>
      </rPr>
      <t>²</t>
    </r>
  </si>
  <si>
    <t>ტნ</t>
  </si>
  <si>
    <t xml:space="preserve">სხვა მასალები    </t>
  </si>
  <si>
    <t>ქვიშა-ცემენტის ხსნარი        M100</t>
  </si>
  <si>
    <t xml:space="preserve">ბლოკი  30Χ40Χ20      </t>
  </si>
  <si>
    <t>თვითსწორებადი იატაკის მოწყობა</t>
  </si>
  <si>
    <t>სამშენებლო ნარჩენების ტრანსპორტირება 15 კმ მანძილზე</t>
  </si>
  <si>
    <t>ორკომპონენტიანი ჰიდროსაიზოლაციო ხსნარი Weber-ის ტიპის</t>
  </si>
  <si>
    <t xml:space="preserve">ზედაპირის სასწორებელი პროფილი 0.35*35*3000მმ (მაიაკი) </t>
  </si>
  <si>
    <t xml:space="preserve">ქვიშაცემენტის ნარევი </t>
  </si>
  <si>
    <r>
      <t>მ</t>
    </r>
    <r>
      <rPr>
        <sz val="9"/>
        <color theme="1"/>
        <rFont val="Calibri"/>
        <family val="2"/>
        <charset val="204"/>
      </rPr>
      <t>²</t>
    </r>
  </si>
  <si>
    <t xml:space="preserve">კერამოგრანიტის ფილების მოწყობა  იატაკზე </t>
  </si>
  <si>
    <t>კერამოგრანიტის პლინტუსის მოწყობა  7 სმ</t>
  </si>
  <si>
    <t>ფუგა     (ფილის ფერი)</t>
  </si>
  <si>
    <t>სამონტაჟო მაკომპლექტებელი პლასტიკატის</t>
  </si>
  <si>
    <t>გრუნტი (თვითსწორებდზე)</t>
  </si>
  <si>
    <t>კერამიკული ფილა კფაელი  RAL 9003, 200X400</t>
  </si>
  <si>
    <t>ცემენტი</t>
  </si>
  <si>
    <t xml:space="preserve">ბარიტი </t>
  </si>
  <si>
    <t xml:space="preserve">კედლების ღიობების ამოშენება 20Χ40Χ20 ბლოკით </t>
  </si>
  <si>
    <t xml:space="preserve">ბლოკი  20Χ40Χ20      </t>
  </si>
  <si>
    <t>ქვიშა</t>
  </si>
  <si>
    <t xml:space="preserve">თ/მუყაოს ტიხრები ცეცხლგამძლე ბგერა თბო იზოლაციით 100 მმ  </t>
  </si>
  <si>
    <t xml:space="preserve">თ/მუყაოს ტიხრები ნესტგამძლე ბგერა თბო იზოლაციით 100 მმ </t>
  </si>
  <si>
    <t>თ/მუყაოს ტიხრები ბგერა თბო იზოლაციით  100 მმ</t>
  </si>
  <si>
    <t>თ/მუყაოს ტიხრები კომბინირებული ბგერა თბო იზოლაციით 100 მმ</t>
  </si>
  <si>
    <t>პროფილები დგარის CW 75*0,5 მმ, მიმმართვ. UW75*0,5; ხრახნები, გამჭედი დუბელი და სხვა მასალები 1მ² ტიხარზე</t>
  </si>
  <si>
    <t>პროფილი CD 27/60/27/0.50; UD 0.50 და  ხრახნები, გამჭედი დუბელი და სხვა მასალები 1მ² მოპირკეთებაზე</t>
  </si>
  <si>
    <t>იატაკები</t>
  </si>
  <si>
    <t>ჭერი</t>
  </si>
  <si>
    <t xml:space="preserve">არმსტრონგის შეკიდული ჭერის მოწყობა </t>
  </si>
  <si>
    <r>
      <t xml:space="preserve">ქვიშაცემენტის მჭიმის მოწყობა </t>
    </r>
    <r>
      <rPr>
        <sz val="10"/>
        <color theme="1"/>
        <rFont val="Sylfaen"/>
        <family val="1"/>
      </rPr>
      <t>50 მმ</t>
    </r>
    <r>
      <rPr>
        <b/>
        <sz val="10"/>
        <color theme="1"/>
        <rFont val="Sylfaen"/>
        <family val="1"/>
      </rPr>
      <t xml:space="preserve"> და ჰიდროიზოლაცია</t>
    </r>
  </si>
  <si>
    <t xml:space="preserve">მეტლახის იატაკის მოწყობა </t>
  </si>
  <si>
    <t>ამოჭრილი ღიობების ფერდილების შელესვა</t>
  </si>
  <si>
    <t>საღებავის გრუნტი</t>
  </si>
  <si>
    <t>რენტგენოდამცავი მინის მონტაჟი 100X80 სმ</t>
  </si>
  <si>
    <t>ღებვა</t>
  </si>
  <si>
    <t>სხვა დამხმარე მასალები</t>
  </si>
  <si>
    <t xml:space="preserve">იატაკზე ვინილის სფარის მოწყობა  </t>
  </si>
  <si>
    <t xml:space="preserve">ვინილის პლინტუსის მოწყობა  </t>
  </si>
  <si>
    <t>ვინილი ანტისტატიკური სამედიცინო დანიშნ.</t>
  </si>
  <si>
    <t>ძაფი პოლივინილქლორიდის</t>
  </si>
  <si>
    <t xml:space="preserve">ვინილის წებო უზინი ან მსგავსი    </t>
  </si>
  <si>
    <t xml:space="preserve">წებო ბიზონკიტი ან მსგავსი </t>
  </si>
  <si>
    <t>წებო გრაფიტის (ანტისტატიკური ვინილისათვის)</t>
  </si>
  <si>
    <t>მეტლახის ფილა  RAL 7004, 250X500</t>
  </si>
  <si>
    <t>მდფ პლინტუსი 100X80 მმ კომპლექტაციით, სამაგრი დეტალებით</t>
  </si>
  <si>
    <t xml:space="preserve"> </t>
  </si>
  <si>
    <t>საღებავის გამხსნელი</t>
  </si>
  <si>
    <t>ლიტ</t>
  </si>
  <si>
    <t>ელექტროდი</t>
  </si>
  <si>
    <t>ბეტონი B25</t>
  </si>
  <si>
    <t xml:space="preserve">არმატურა A10 </t>
  </si>
  <si>
    <t>სამშენებლო სამუშაოები</t>
  </si>
  <si>
    <t>პაჩ-პანელი Cat5e კაბელისთვის, UTP/FTP; T568A და
T568B სტანდარტი; RJ45; მარკირების ადგილი; rack
mountable; მოოქროვება 3U; IDC კონექტორის ციკლი -
200მინ; RJ45 ბუდის სასიცოცხლო ციკლი 750 მინ.</t>
  </si>
  <si>
    <t xml:space="preserve"> Cat5e, შიდა გამოყენების ; FTP; ერთჟილიანი 8 წვერი,
4 წყვილად ხვეული; 100% სპილენძი; კვეთა 0.48-0.5მმ;
სამუშაო დიაპაზონი -15+50C</t>
  </si>
  <si>
    <t>Cat5e კაბელისთვის, UTP/FTP; T568A და T568B
სტანდარტი; 2 ბუდე RJ45; მოოქროვება 3U;
მარკირების ადგილი; RoHS სერთიფიცირება;
(პანელით,სოკეტით, ჩარჩოთი)</t>
  </si>
  <si>
    <t>ც</t>
  </si>
  <si>
    <t>სახანძრო უსაფრთხოება</t>
  </si>
  <si>
    <t>სანტექნიკა</t>
  </si>
  <si>
    <t>Cat5e კაბელისთვის, UTP/FTP; T568A და T568B
სტანდარტი; 1 ბუდე RJ45; მოოქროვება 3U;
მარკირების ადგილი; RoHS სერთიფიცირება;
(პანელით,სოკეტით, ჩარჩოთი)</t>
  </si>
  <si>
    <t>ჰორიზონტალური კაბელის მიმმართველი რეკისათვის</t>
  </si>
  <si>
    <t xml:space="preserve"> სუსტი დენები, კომპიუტერული დაქსელვა</t>
  </si>
  <si>
    <t>ქსელის ტესტირება დოკუმენტური რეპორტით</t>
  </si>
  <si>
    <t>ზედნადები ხარჯი ხელფასიდან</t>
  </si>
  <si>
    <t>საპენსიო დანარიცხი</t>
  </si>
  <si>
    <t>დღგ</t>
  </si>
  <si>
    <t>საერთო ჯამი</t>
  </si>
  <si>
    <t>კომპიუტერული დაქსელვა</t>
  </si>
  <si>
    <t>ელექტროობა</t>
  </si>
  <si>
    <t>სახანძრო სიგნალიზაცია</t>
  </si>
  <si>
    <t>სანტექნუკური სამუშაოები</t>
  </si>
  <si>
    <t>სასიგნალო ხელის ღილაკი მისამართიანი, მოკლე ჩართვის იზოლატორით, სამონტაჟო ძირით</t>
  </si>
  <si>
    <t>მისამართიანი მრავალფუნქციონალური (მულტი) კვამლის  სახანძრო სენსორი  სამონტაჟო ძირით</t>
  </si>
  <si>
    <t>კედლის მისამართიანი  სასიგნალო საყვირი კომბინირებული, მოკლე ჩართვის იზოლატორით, ნათებით და ხმოვანი სიგნალით, სამონტაჟო ძირით</t>
  </si>
  <si>
    <t>მისამრთიანი მართვის პანელი ინტეგრირებული აკუმულიატორით, ლედ ეკრანით, სრული კომპლექტაციით</t>
  </si>
  <si>
    <t xml:space="preserve">გეგმიური დაგროვება  </t>
  </si>
  <si>
    <r>
      <t xml:space="preserve">ჭერის ბაქტერიციდული გამომსხივებელი 1070×160×1155   </t>
    </r>
    <r>
      <rPr>
        <b/>
        <sz val="10"/>
        <rFont val="Sylfaen"/>
        <family val="1"/>
      </rPr>
      <t>S 07</t>
    </r>
  </si>
  <si>
    <t>წყალგაყვანილობა</t>
  </si>
  <si>
    <t>ფასონური დეტალები</t>
  </si>
  <si>
    <t>წყალარინება</t>
  </si>
  <si>
    <t>პლასტმასის დ50 მმ კანალიზაციის მილის მონტაჟი</t>
  </si>
  <si>
    <t>პლასტმასის დ 100 მმ კანალიზაციის მილის მონტაჟი</t>
  </si>
  <si>
    <t>ტრაპი    დ50მმ</t>
  </si>
  <si>
    <t>ჩამრთველი ერთ  კლავიშიანი,  6ა  220ვ  კლავიშები, ჩარჩო საკომუტაციო მოწყობილობა</t>
  </si>
  <si>
    <t>ჩამრთველი ორ  კლავიშიანი,  10ა  220ვ  კლავიშები, ჩარჩო საკომუტაციო მოწყობილობა</t>
  </si>
  <si>
    <t>მაგიდაზე სამაგრი როზეტების  4 ბუდიანი ჩარჩო,  გათვალისწინებულია 1ც, ინტერნეტისთვის</t>
  </si>
  <si>
    <t>დამიწების კონტურის მოწყობა სტანდარტის მიხედვით</t>
  </si>
  <si>
    <t>გამანაწილებელი კოლოფი  მომჭერების რიგით 2.5მმკვ</t>
  </si>
  <si>
    <t>გ/მ</t>
  </si>
  <si>
    <t>ელ.სამონტაჟო სამუშაოები</t>
  </si>
  <si>
    <t>წერტ</t>
  </si>
  <si>
    <t>ლარ</t>
  </si>
  <si>
    <t xml:space="preserve">სხვა დამხმარე მასალები </t>
  </si>
  <si>
    <t>კომპ.</t>
  </si>
  <si>
    <t>გრძ/მ</t>
  </si>
  <si>
    <t>საშხაპე კაბინა ქვედით, შემრევი, საშხაპე, სრული კომპლექტაციით</t>
  </si>
  <si>
    <t xml:space="preserve">ფასონური დეტალები და დამხმარე მასალები  </t>
  </si>
  <si>
    <t>პოლიეთილენის ცივი წყლის მილის მონტაჟი SDR11 PN 16 Ø20</t>
  </si>
  <si>
    <t>პოლიეთილენის ცივი წყლის მილის მონტაჟი SDR11 PN 16 Ø 25</t>
  </si>
  <si>
    <t>პოლიეთილენის ცივი წყლის მილის მონტაჟი SDR11 PN 16 Ø 32</t>
  </si>
  <si>
    <t>პოლიეთილენის ცივი წყლის მილის მონტაჟი SDR11 PN 16 Ø 40</t>
  </si>
  <si>
    <t>პოლიეთილენის ცხელი წყლის მილი მინაბოჭკოვანი SDR11 PN 16 Ø20</t>
  </si>
  <si>
    <t>პოლიეთილენის ცხელი წყლის მილი მინაბოჭკოვანი SDR11 PN 16 Ø25</t>
  </si>
  <si>
    <t>პოლიეთილენის ცხელი წყლის მილი მინაბოჭკოვანი SDR11 PN 16 Ø 32</t>
  </si>
  <si>
    <t>შეასფუთი კაუჩუკის თბოიზოლაციის მილი</t>
  </si>
  <si>
    <t xml:space="preserve"> Ø20 მმ არკო ვენტილი გადამყვანით</t>
  </si>
  <si>
    <t>წყალგაყვანილობისა და საქვაბის გაშების ტესტირება/დაპრესვა/ გამოცდის სამუშაოები რეპოტით დადასტურებული</t>
  </si>
  <si>
    <t>ლამინირებული იატაკი 1200*155*10 მმ 32 კლასი (ე.წ. კანტით)</t>
  </si>
  <si>
    <t>ლამინირებული იატაკის ქვეშსაგები ღრუბელი 2 მმ</t>
  </si>
  <si>
    <t>საიზოლაციო მასალა  მინაბამბა 50 მმ</t>
  </si>
  <si>
    <t>პლასტმასის გამანაწ. კარადა საკეტით,  რენტგენზე</t>
  </si>
  <si>
    <t>სამფაზა ავტომატური ამომრთველი  400ა,380ვ</t>
  </si>
  <si>
    <t>სამფაზა ავტომატური ამომრთველი  160ა,380ვ</t>
  </si>
  <si>
    <t>სამფაზა ავტომატური ამომრთველი  63ა,380ვ</t>
  </si>
  <si>
    <t>სამფაზა ავტომატური ამომრთველი  50ა,380ვ</t>
  </si>
  <si>
    <t>სამფაზა ავტომატური ამომრთველი  32ა,380ვ</t>
  </si>
  <si>
    <t>ერთფაზა ავტომატური ამომრთველი  25ა,220ვ</t>
  </si>
  <si>
    <t>ერთფაზა ავტომატური ამომრთველი  16ა,220ვ</t>
  </si>
  <si>
    <t>ერთფაზა ავტომატური ამომრთველი  16ა,220ვ, დიფ.დაცვით</t>
  </si>
  <si>
    <t>ერთფაზა ავტომატური ამომრთველი  10ა,220ვ</t>
  </si>
  <si>
    <t xml:space="preserve">შტეფსელური როზეტი დამიწების კონტაქტით,  ღია დაყ. 10ა, 230ვ  </t>
  </si>
  <si>
    <t xml:space="preserve">შტეფსელური როზეტი დამიწების კონტაქტით,  დახურული დაყ. 10ა, 230ვ </t>
  </si>
  <si>
    <t>ვინილი სამედიცინო დანიშნ.</t>
  </si>
  <si>
    <t>პოლიეთილენის ცხელი წყლის მილი მინაბოჭკოვანი SDR11 PN 16 Ø 40</t>
  </si>
  <si>
    <t>გადამყვანი "ამერიკანკა"</t>
  </si>
  <si>
    <t xml:space="preserve">ქ. თბილისი, გურამიშვილის გამზირი №63, პოლიკლინიკის მოწყობის სარეკონსტრუქციო სამუშაოების  ხარჯთაღრიცხვა   </t>
  </si>
  <si>
    <t xml:space="preserve">ქ. თბილისი, გურამიშვილის გამზირი №63, პოლიკლინიკის მოწყობის სარეკონსტრუქციო სამუშაოების                           </t>
  </si>
  <si>
    <t xml:space="preserve">თ/მუყაოს მოპირკეთება </t>
  </si>
  <si>
    <t>თ/მუყაოს მოპირკეთება ცეცხლგამძლე</t>
  </si>
  <si>
    <t>თ/მუყაოს მოპირკეთება ნესტგამძლე</t>
  </si>
  <si>
    <t xml:space="preserve">კედლების ღიობების ამოშენება 15Χ40Χ20 ბლოკით </t>
  </si>
  <si>
    <t xml:space="preserve">ქვიშა-ცემენტის ხსნარი        </t>
  </si>
  <si>
    <t xml:space="preserve">ბლოკი  15Χ40Χ20      </t>
  </si>
  <si>
    <t xml:space="preserve">კიბის ბაქნისა და მარშის დემონტაჟი </t>
  </si>
  <si>
    <t xml:space="preserve">კიბის ბაქნისა და მარშის გადახურვის დემონტაჟი </t>
  </si>
  <si>
    <t>ფანჯრის გისოსების არმატურის დემონტაჟი I სართულზე (დასაწყობებით)</t>
  </si>
  <si>
    <t>საკანალიზაციო ჭის ხუფის და ხუფის ძირების დემონტაჟი</t>
  </si>
  <si>
    <t>ბლოკით (20*40*20 სმ) ამოშენებული ფანჯრის  ღიობების დემონტაჟი I სართულზე</t>
  </si>
  <si>
    <t>ლითონის კარის ბლოკების დემონტაჟი</t>
  </si>
  <si>
    <t>სატრანსპორტო შესასვლელი ლითონის მთავარი კარის დემონტაჟი</t>
  </si>
  <si>
    <t>ხელსაბანებისა და უნიტაზების დემონტაჟი</t>
  </si>
  <si>
    <t>ამორტიზებული ალუმინის ფანჯრების დემონტაჟი</t>
  </si>
  <si>
    <t>პლასტიკატის ჭერის დემონტაჟი</t>
  </si>
  <si>
    <t>ბლოკის შიდა ტიხრების დემონტაჟი 6 სართულზე კარის ღიობების ამოჭრის ჩათვლით (კედლის სისქ.20 სმ)</t>
  </si>
  <si>
    <t>თაბ.მუყ. ჭერის დემონტაჟი</t>
  </si>
  <si>
    <t>ამოტიზებული ალუმ. ჭერის დემონტაჟი</t>
  </si>
  <si>
    <t xml:space="preserve">ამოტიზებული სავენტილაციო კორობების დემონტაჟი  ჭერიდან </t>
  </si>
  <si>
    <t>არსებული კედლის ქვაბების დემონტაჟი (დასაწყობება)</t>
  </si>
  <si>
    <t>არსებული გაზის მრიცხველების დემონტაჟი (დასაწყობება)</t>
  </si>
  <si>
    <t>მდფ კარის, ხის კარისა და მეტ.პლასტ კარებების დემონტაჟი (დასაწყობება)</t>
  </si>
  <si>
    <t>ლიფტის სამონტაჟოდ სართულშუა გადახურვის ღრუტანიანი ფილების დემონტაჟი 7 სართულზე (თანმდევი ლითონის კონსტრუციით გამაგრებით)</t>
  </si>
  <si>
    <t>არსებული ელ. მრიცხველების და ამომრთველი ავტომატების დემონტაჟი (დასაწყობება)</t>
  </si>
  <si>
    <t>ამორტიზებული ლამინატის იატაკის დემონტაჟი</t>
  </si>
  <si>
    <t>ამორტიზებული პარკეტის იატაკის დემონტაჟი</t>
  </si>
  <si>
    <t>ამორტიზებული კერამიკული იატაკის დემონტაჟი</t>
  </si>
  <si>
    <t xml:space="preserve">ბეტონის იატაკში საკანალიზაციო გაყვანილობის სამონტაჟო არხების ამოჭრა I სართულზე </t>
  </si>
  <si>
    <t xml:space="preserve">სართულებზე ბეტონის იატაკში საკანალიზაციო გაყვანილობის სამონტაჟო წერტილების ამოჭრა </t>
  </si>
  <si>
    <t>ინერტული სამშენებლო ნარჩენების შეგროვება-ჩატანა სართულებიდან და დატვირთვა ა/მ-ზე</t>
  </si>
  <si>
    <t xml:space="preserve">იატაკზე ლამინირებული ფილების  მოწყობა პლინტუსით </t>
  </si>
  <si>
    <t xml:space="preserve">კაფელის მოწყობა კედლებზე </t>
  </si>
  <si>
    <t>ლიფტის ახალი შახტისათვის სართულშუა გადახურვის ფილების  საყრდენი და კონტურის  გამაგრების ლითონკონსტრუქციის მონტაჟი</t>
  </si>
  <si>
    <t>კედლების შელესვა ქვიშაცემენტით</t>
  </si>
  <si>
    <t xml:space="preserve">არმსტრონგის ჭერის Т 24 ტიპის პროფილები, კუთხოვანა პერიმეტრის, საკიდი, დუბელი  და სხვა დეტალებით </t>
  </si>
  <si>
    <t>თაბ.მუყ. ფილა ცეცხლგამძლე 12.5მმ</t>
  </si>
  <si>
    <t>თაბ.მუყ. ფილა 12.5მმ</t>
  </si>
  <si>
    <t>თაბ.მუყ. ფილა  ნესტგამძლე    12.5მმ</t>
  </si>
  <si>
    <t>თაბ.მუყ. ფილა 2400x1200x 9.5 მმ</t>
  </si>
  <si>
    <t xml:space="preserve">შეკიდული ჭერის სერვისხუფი 600x500 მმ </t>
  </si>
  <si>
    <t xml:space="preserve">ჭერის  პროფილები, საკიდი, დუბელი  და სხვა დეტალებით </t>
  </si>
  <si>
    <t>რენტგენის ოთახის კედლების შელესვა ბარიტის ფენით</t>
  </si>
  <si>
    <t>შეკიდული ჭერის სერვისხუფი 600x500 მმ რენტგენის ფილის შემცველობით</t>
  </si>
  <si>
    <t>რენტგენის ფილა (კნაუფი)  2500x625x12.5 მმ</t>
  </si>
  <si>
    <t>რენტგენის ოთახის შეკიდული ჭერის მონტაჟი კნაუფის რენტგენის ფილებით</t>
  </si>
  <si>
    <t>კედლები, ტიხრები, ჭერი</t>
  </si>
  <si>
    <t xml:space="preserve">მცირე საოპერაციოს თაბ.მუყ. შეკიდული ჭერის მოწყობა </t>
  </si>
  <si>
    <t>მდფ კარის ბლოკი ერთფრთიანი 90X210  21 ც , მაღალი ხარისხის საკეტით, სახელური სამდიცინო დანიშნულების სტანდარტით</t>
  </si>
  <si>
    <t>მდფ კარის ბლოკი ერთფრთიანი 95X210 65 ც,  მაღალი ხარისხის საკეტით, სახელური სამდიცინო დანიშნულების სტანდარტით</t>
  </si>
  <si>
    <t>მდფ კარის ბლოკის ორფრთიანი, 120X210 2 ც,  მაღალი ხარისხის საკეტით, სახელური სამდიცინო დანიშნულების სტანდარტით</t>
  </si>
  <si>
    <t>მდფ კარის ბლოკის ორფრთიანი, 170X210 1ც ,  მაღალი ხარისხის საკეტით, სახელური სამდიცინო დანიშნულების სტანდარტით</t>
  </si>
  <si>
    <t xml:space="preserve">საოპერაციოს ალუმინის კარის ბლოკი მინის სარკმელით </t>
  </si>
  <si>
    <t>სახანძრო კარის ბლოკი სპეც. სახელურით</t>
  </si>
  <si>
    <t>რენტგენოდამცავი ლითონის კარი ერთფრთიანი, 120X210  (დამკვეთთან შეთანხმებით)</t>
  </si>
  <si>
    <t>რენტგენოდამცავი ლითონის კარი ერთფრთიანი, 90X210   (დამკვეთთან შეთანხმებით)</t>
  </si>
  <si>
    <t xml:space="preserve">ალუმინის კარის ბლოკი საოპერაციო 120X210  მინით (დამკვეთთან შეთანხმებით) </t>
  </si>
  <si>
    <t xml:space="preserve">ალუმინის კარის ბლოკი საოპერაციო 90X210  მინით (დამკვეთთან შეთანხმებით) </t>
  </si>
  <si>
    <t>სახანძრო კარის ბლოკი 90 წთ. ცეცხლმედეგობით, ცეცხლგამძლე შიგთავსი ქვაბამბა, სპეც. სახელურით 120X210 11ც (დამკვეთთან შეთანხმებით)</t>
  </si>
  <si>
    <t>ანტიკოროზიული საღებავი ლითონის კარკასზე</t>
  </si>
  <si>
    <t>ფითხი ლითონის ორკომპონენტიანი</t>
  </si>
  <si>
    <t>ლითონის საჭრელი და სახეხი დისკი</t>
  </si>
  <si>
    <t>მთავარი შესასვლელი კარის ფასადზე  ბურულის მოწყობა პოლიკარბონატის 10 მმ ფილით, ლითონის კარკასზე და დგარებზე 5×1.5 მ</t>
  </si>
  <si>
    <t>არსებული ლით. მილები დგარებისათვის</t>
  </si>
  <si>
    <t xml:space="preserve">მილკვადრატი 40X60X3 მმ </t>
  </si>
  <si>
    <t>კუთხოვანა ფოლადის არსებული მასალით</t>
  </si>
  <si>
    <t>ალუმინის Π პროფილი 10X10X10X2მმ</t>
  </si>
  <si>
    <t>ალუმინის ზოლოვანა 40X2მმ</t>
  </si>
  <si>
    <t>სილიკონი ჰერმეტიკი AM 10 -310 mlg</t>
  </si>
  <si>
    <t>ხრახნი თვითმჭრელი, გალვანიზირებული</t>
  </si>
  <si>
    <t xml:space="preserve">პოლიკარბონატის/კარბოლუქსის 10 მმ პანელი, RAL9003 (დაღარული გვერდულები დაიფაროს სილიკონზე ალუმინის Π პროფილით) </t>
  </si>
  <si>
    <t xml:space="preserve">რენტგენის ოთახის კედლების ამოშენება 30Χ40Χ20 ზომის სავსე ბლოკით </t>
  </si>
  <si>
    <t xml:space="preserve">მეტ. პლასტმასის ფანჯრის ბლოკის მონტაჟი </t>
  </si>
  <si>
    <t xml:space="preserve">მეტ. პლასტმასის ფანჯრის ბლოკი არსებულის მსგავსი, ერთშრიანი მინაპაკეტით, ერთი გაღებით (დამკვეთთან შეთანხმებით) </t>
  </si>
  <si>
    <t>ფანჯრის ბლოკები და ვიტრაჟები</t>
  </si>
  <si>
    <t>კარის ბლოკები</t>
  </si>
  <si>
    <t>ალუმინის ვიტრაჟები ერთშრიანი მინპაკეტი</t>
  </si>
  <si>
    <r>
      <t xml:space="preserve">ჭერების, ტიხრებისა და კედლების დამუშავება და შეღებვა </t>
    </r>
    <r>
      <rPr>
        <sz val="10"/>
        <color theme="1"/>
        <rFont val="Sylfaen"/>
        <family val="1"/>
      </rPr>
      <t>(კიბის უჯრედების ჩათვლით)</t>
    </r>
    <r>
      <rPr>
        <b/>
        <sz val="10"/>
        <color theme="1"/>
        <rFont val="Sylfaen"/>
        <family val="1"/>
      </rPr>
      <t xml:space="preserve"> </t>
    </r>
  </si>
  <si>
    <t>კიბის უჯრედები</t>
  </si>
  <si>
    <t>საღებავი ანტიკოროზიული</t>
  </si>
  <si>
    <t>ფითხი ლითონის</t>
  </si>
  <si>
    <t>ლითონის საჭრელი და სახეხი დისკები</t>
  </si>
  <si>
    <t xml:space="preserve">მილკადრატი 50*25*2 მმ </t>
  </si>
  <si>
    <t>კიბის ბაქნებზე ფანჯრის გისოსის მონტაჟი მიკვადრატებით, შედუღების ნაკერის დამუშავება და შეღებვა ანტიკოროზიული საღებავით</t>
  </si>
  <si>
    <t xml:space="preserve">მილკადრატი 20*20*2 მმ </t>
  </si>
  <si>
    <t>კიბის ბაქნებისა და საფეხურების მოპირკეთება კერამოგრანიტით და წიბოებზე მოცურების დამცავი ალუმინის ზღურბლით</t>
  </si>
  <si>
    <t>კერამოგრანიტისფილა ხაოიანი, III კლასის საექსპლუატაციო მახასიათებლით</t>
  </si>
  <si>
    <t>კუთხოვანა/ზღურბლი ალუმინის</t>
  </si>
  <si>
    <t xml:space="preserve">ფუგა    </t>
  </si>
  <si>
    <t xml:space="preserve">ბეტონის კიბის საფეხურების მოწყობა </t>
  </si>
  <si>
    <t xml:space="preserve">ლითონის კარკასი </t>
  </si>
  <si>
    <t>კარის საკეტ/სახლური, ანჯამები და სხვა აქსესუარი</t>
  </si>
  <si>
    <t>მილკვადრატი 60X40X2.5 მმ</t>
  </si>
  <si>
    <t xml:space="preserve">კარებების კარკასის მონტაჟი მილკვადრატით 60X40X2.5 მმ </t>
  </si>
  <si>
    <t>ბეტონის არმირებული იატაკი</t>
  </si>
  <si>
    <t>სახურავისა და კედლების მონტაჟი სენდვიჩპანელებით ლითონის კარკასზე</t>
  </si>
  <si>
    <t>კედლის პოლიურეთანის 50 მმ სენდვიჩ პანელი, მეტალის სისქე 0.5 მმ, ცეცხლმედეგობის კლასი: B2, RAL9002</t>
  </si>
  <si>
    <t>სახურავის პოლიურეთანის 40 მმ სენდვიჩ პანელი, მეტალის სისქე 0.5 მმ, ცეცხლმედეგობის კლასი: B2, RAL9002</t>
  </si>
  <si>
    <t>სენდვიჩ პანელის ხრახნი თვითმჭრელი, გალვანიზირებული, რეზინოვან/გალვანიზ. საყელურით 6,3/5,5X105 მმ</t>
  </si>
  <si>
    <t xml:space="preserve">პანელის ქვეშსაგები ლითონზე, ზოლოვანა რეზინოვანი </t>
  </si>
  <si>
    <t>დამხმარე მასალები და აქსესურები</t>
  </si>
  <si>
    <t>უწყვეტი კვების წყარო ( UPS) 1 KVA 900W</t>
  </si>
  <si>
    <t>პაჩკორდი 1მ Cat 5e FTP, 100% CU</t>
  </si>
  <si>
    <t>საკაბელო არხი 200მმ ( მეტალის)</t>
  </si>
  <si>
    <t>საკაბელო არხი( პლასტმასის,როზეტებისთვის)</t>
  </si>
  <si>
    <t>საკაბელო არხი (პლასტმასის ერთი კაბელისთის)</t>
  </si>
  <si>
    <t>კაბელარხის საკიდი (გეაბრაზნი მეტალის)</t>
  </si>
  <si>
    <t>250</t>
  </si>
  <si>
    <t xml:space="preserve">საკაბელო არხი (კიბე, მეტალის)  200მმ </t>
  </si>
  <si>
    <t>კაბელარხის გადასაბმელი ( მეტალის)</t>
  </si>
  <si>
    <t>200</t>
  </si>
  <si>
    <t>კაბელარხის სამკაპი 200მმ (მეტალის)</t>
  </si>
  <si>
    <t>60</t>
  </si>
  <si>
    <t>16</t>
  </si>
  <si>
    <t>საკომუნიკაციო კარადა  42 U , 800x800 მმ, გაგრილება თერმოსტატით</t>
  </si>
  <si>
    <t>საკომუნიკაციო კარადა  32 U , 600x800 მმ, გაგრილება თერმოსტატით</t>
  </si>
  <si>
    <t>პაჩპანელი 24 პორტი Cat 5e  რიგის და საკ. კარადების კავშირისთვის</t>
  </si>
  <si>
    <t xml:space="preserve"> PDU ჩართვა-გამორთვის ღილაკით  საკომუნიკაციო კარადაში დასამონტაჟებელი 8 როზეტით.</t>
  </si>
  <si>
    <t>ჯეკი RJ 45 (WI-FI) და რიგის მართვა</t>
  </si>
  <si>
    <t>კაბელარხის 90° კუთხით (მეტალის)</t>
  </si>
  <si>
    <t>300</t>
  </si>
  <si>
    <t>30</t>
  </si>
  <si>
    <t xml:space="preserve">ზედნადები ხარჯი </t>
  </si>
  <si>
    <t>სამისამართო თბური დეტექტორი</t>
  </si>
  <si>
    <t>კვამლის სამისამართო  დეტექტორი</t>
  </si>
  <si>
    <t xml:space="preserve"> საკომუნიკაციო კაბელი ცეცხლგამძლე სამაგრებით  4 X 1.5</t>
  </si>
  <si>
    <t>ბეტონის იატაკის ამოტეხვა და გრუნტის ამოთხრა ლიფტის სამონტაჟოდ ტექ. სართულისათვის</t>
  </si>
  <si>
    <t>ბეტონი B25 W8</t>
  </si>
  <si>
    <t xml:space="preserve">ფიცარი 40მმ    </t>
  </si>
  <si>
    <t>A500  10 არმატურის დამუშავება და ჩაწყობა</t>
  </si>
  <si>
    <t>გამომწვარი მავთული</t>
  </si>
  <si>
    <t xml:space="preserve">ყალიბის ფარები 18მმ     </t>
  </si>
  <si>
    <t>ჰიდრო საიზოლაციიო ფხვნილი კალმატრონი ან პენეტრონი</t>
  </si>
  <si>
    <r>
      <t>ლიფტისათვის მონოლითური რკ/ბეტონის კედლებისა და ფუნდამენტის მოწყობა ტექ. სართულისათვის - 0.9 მ ნიშნულზე</t>
    </r>
    <r>
      <rPr>
        <sz val="10"/>
        <color theme="1"/>
        <rFont val="Sylfaen"/>
        <family val="1"/>
      </rPr>
      <t xml:space="preserve"> (ჰიდროსაიზოლაციო დანამატებით)</t>
    </r>
  </si>
  <si>
    <t xml:space="preserve">ფასადის დაზიანებული ფრაგმენტების შელესვა, გაწმენდა დამუშავება და შეღებვა </t>
  </si>
  <si>
    <t>ალუმინის ფანჯარა გადასაცემი, ალდოქსის შავი პროფილი, 4*4 მმ შუშა მინაპაკეტი</t>
  </si>
  <si>
    <t>არმსტრონგის ჭერის 600x600x10 მმ ფილები, თეთრი, სინათლის 90% არეკვლა, ნესტგამძლეობა 95%,  ცეცხლმედეგობა 30 წთ, RAL9003</t>
  </si>
  <si>
    <t xml:space="preserve">კერამოგრანიტის 600X600X10 მმ, ხაოიანი, III კლასის საექსპლუატაციო მახასიათებლით, RAL 7035/iso სერთიფიკატით </t>
  </si>
  <si>
    <r>
      <t xml:space="preserve">მდფ კარის ბლოკების მონტაჟი </t>
    </r>
    <r>
      <rPr>
        <sz val="10"/>
        <color theme="1"/>
        <rFont val="Sylfaen"/>
        <family val="1"/>
      </rPr>
      <t>(ჩარჩოს სიგანე 100მმ, სიმაღლე 40-20მმ.დაფარულია PVC-ით; ანჯამები ქრომირებული“პეპელა“,თითოეულ კარზე განუთვნილია 3ცალი. საკეტი, ევრო სტანდარტის საკეტი, AGB მექანიზმით.
 სახელური, ევროსტანდარტის სახელური, ქრომირებული. MDF-ს თამასები, PVC დაფარვით, ფასადის ზომა-70მმ, ფეხი-40მმ.)</t>
    </r>
  </si>
  <si>
    <t>ემულსიური საღებავი წმენდადი (ეკოლოგიურად სუფთა)</t>
  </si>
  <si>
    <t>ანტიბაქტერიული საღებავი  (ეკოლოგიურად სუფთა)</t>
  </si>
  <si>
    <t>ემულსიური საღებავი  (ეკოლოგიურად სუფთა)</t>
  </si>
  <si>
    <t>უნიტაზი ჩამრეცხი ავზით, მაღალი ხარისხის მექანიზმებით (დამკვეთთან შეთანხმება)</t>
  </si>
  <si>
    <t>ხელსაბანი სრული კომპლექტი, მაღალი ხაისხის შემრევი და დრეკადი მილები (დამკვეთთან შეთანხმება)</t>
  </si>
  <si>
    <t>საწარმოო ნიჟარა სრული კომპლექტი,  მაღალი ხაისხის შემრევი და დრეკადი მილები (დამკვეთთან შეთანხმება)</t>
  </si>
  <si>
    <r>
      <rPr>
        <b/>
        <sz val="10"/>
        <rFont val="Sylfaen"/>
        <family val="1"/>
      </rPr>
      <t xml:space="preserve">შშმპ </t>
    </r>
    <r>
      <rPr>
        <sz val="10"/>
        <rFont val="Sylfaen"/>
        <family val="1"/>
      </rPr>
      <t>- სათვის  უნიტაზი ჩამრეცხი ავზით, ხელსაბანი შემრევით, ადაპტირების აქსესუარები , სრული კომპლექტაცია</t>
    </r>
  </si>
  <si>
    <t>წყალგაყვანილობის გაშვების ტესტირება/დაპრესვა/ გამოცდის სამუშაოები რეპოტით დადასტურებული</t>
  </si>
  <si>
    <t>ტრანშეის გაჭრა საკანალიზაციო მილის ჩასადებად, მილის მოწყობა და ტრანშეის ქვიშით და ბალასტით შევსება</t>
  </si>
  <si>
    <t>ლითონის გამანაწ. კარადა საკეტით 0.4 კვ,40 მოდ. გარე დაყენების</t>
  </si>
  <si>
    <t>სამფაზა ავტომატური ამომრთველი  100ა,380ვ</t>
  </si>
  <si>
    <t>სამფაზა ავტომატური ამომრთველი  25ა,380ვ</t>
  </si>
  <si>
    <t>ერთფაზა ავტომატური ამომრთველი  16ა,380ვ</t>
  </si>
  <si>
    <t>სპილენძის ძარღვიანი კაბელი ორმაგი იზოლაციით  0.4კვ. კვეთ: (3X50+1X25)მმკვ</t>
  </si>
  <si>
    <t>სპილენძის ძარღვიანი კაბელი ორმაგი იზოლაციით  0.4კვ. კვეთ: (5X25)მმ კვ</t>
  </si>
  <si>
    <t>სპილენძის ძარღვიანი კაბელი ორმაგი იზოლაციით  0.4კვ. კვეთ: (5X16)მმ კვ</t>
  </si>
  <si>
    <t>სპილენძის ძარღვიანი კაბელი ორმაგი იზოლაციით  0.4კვ. კვეთ: (5X10)მმ კვ</t>
  </si>
  <si>
    <t>სპილენძის ძარღვიანი კაბელი ორმაგი იზოლაციით  0.4კვ. კვეთ: (5X6)მმ კვ</t>
  </si>
  <si>
    <t>სპილენძის ძარღვიანი კაბელი  ორმაგი იზოლაციით 0.22კვ. კვეთ: (3X4)მმ კვ</t>
  </si>
  <si>
    <t>სპილენძის ძარღვიანი კაბელი  ორმაგი იზოლაციით 0.22კვ. კვეთ: (3X2.5)მმ კვ</t>
  </si>
  <si>
    <t>სპილენძის ძარღვიანი კაბელი  ორმაგი იზოლაციით 0.22კვ. კვეთ: (3X21.5)მმ კვ</t>
  </si>
  <si>
    <t xml:space="preserve"> LED სანათი დიოდებით  (1X25) ვტ 220ვ, IP 31 დაცვით</t>
  </si>
  <si>
    <t xml:space="preserve"> LED სანათი დიოდური დაცვით   (1X12) vt, 220v,  IP 65 გარე დაყენების</t>
  </si>
  <si>
    <t>სპ. ერთ ძარღვიანი სადენი კვეთ. 8მმკვ ელ.ფარების დამიწებისთვის</t>
  </si>
  <si>
    <t>საკაბელო სამაგრი აბზინდი 25სმ</t>
  </si>
  <si>
    <t>პლასტმასის საკაბელო არხი (40x25)მმ</t>
  </si>
  <si>
    <t>დუბელი საკაბელო არხის სამაგრად L=35MM</t>
  </si>
  <si>
    <t>0.4კვ საკაბელო დამაბოლოებელი ქურო ბუნიკებით 150მმკვ</t>
  </si>
  <si>
    <t>0.4კვ საკაბელო დამაბოლოებელი ქურო ბუნიკებით 95მმკვ</t>
  </si>
  <si>
    <t>0.4კვ საკაბელო დამაბოლოებელი ქურო ბუნიკებით 70მმკვ</t>
  </si>
  <si>
    <t>0.4კვ საკაბელო დამაბოლოებელი ქურო ბუნიკებით 50მმკვ</t>
  </si>
  <si>
    <t>0.4კვ საკაბელო დამაბოლოებელი ქურო ბუნიკებით 25მმკვ</t>
  </si>
  <si>
    <t>ზოლოვანი ფოლადი (4ხ40)მმ (საქვაბეში დანადგარების კორპუსის დამიწებისთვის)</t>
  </si>
  <si>
    <t>ფოლადის გალვანიზირებული გლინულა d=16mm l=2m</t>
  </si>
  <si>
    <t>ლითონის გამანაწ. კარადა საკეტით 0.4 კვ,32 მოდ მეგფ</t>
  </si>
  <si>
    <t>ამსტრონგის ტიპის LED სანათი დიოდებით,სიმძ.(1X30) ვტ 220ვ, IP 31 დაცვით 600*600მმ 6500k</t>
  </si>
  <si>
    <t>ორტესებრი კოჭი  200 მმ</t>
  </si>
  <si>
    <t>შველერი  200 მმ</t>
  </si>
  <si>
    <t>შველერის კედელში ჩასამაგრებელი ანკერები</t>
  </si>
  <si>
    <t xml:space="preserve">მილკვადრატი ჰორიზონტლური პერიმეტრის 120X80X3  მმ </t>
  </si>
  <si>
    <t>დგარების მონტაჟი მილკვადრატით 120X120X5 მმ 6X24 ც. (ძირის ლითონის ფირფიტებზე დადუღება)</t>
  </si>
  <si>
    <t>კუთხოვანა 80×80×8 mm</t>
  </si>
  <si>
    <t xml:space="preserve">ფოლადის კუთხოვანა  90X90X6 მმ </t>
  </si>
  <si>
    <r>
      <t xml:space="preserve">ლიფტების შახტისათვის ლითონის კონსტრუქციის მონტაჟი </t>
    </r>
    <r>
      <rPr>
        <sz val="10"/>
        <color theme="1"/>
        <rFont val="Sylfaen"/>
        <family val="1"/>
      </rPr>
      <t>(13*4მ)</t>
    </r>
  </si>
  <si>
    <t xml:space="preserve">ფოლადის კუთხოვანა  100X100X6 მმ </t>
  </si>
  <si>
    <t>დიაფრაგმული ჩასადუღებელი ლითონის ფურცლოვანი დეტალები ფურცლოვანი ფოლადის 5 მმ</t>
  </si>
  <si>
    <t xml:space="preserve">მილკვადრატი სამონტაჟო 60X80X3  მმ </t>
  </si>
  <si>
    <t>საქვაბეს მოწყობილობის სპეციფიკაცია</t>
  </si>
  <si>
    <t>მემბრანული გამაფრათოვებელი ავზი V=30ლ</t>
  </si>
  <si>
    <t>რადიატორებით გათბობის სისტემის ქსელის წყლის ტუმბო G=18.0მკ/სთ H=16მ.წყ.სვ. N=2780ვტ</t>
  </si>
  <si>
    <t>ცხელი წყლის საცირკულაციო ტუმბო G=0.2მკ/სთ H=6მ.წყ.სვ. N=300ვტ</t>
  </si>
  <si>
    <t>ვინტილი d32</t>
  </si>
  <si>
    <t>ვინტილი d25</t>
  </si>
  <si>
    <t>ვინტილი d20</t>
  </si>
  <si>
    <t>უკუ სარქველი d100</t>
  </si>
  <si>
    <t>უკუ სარქველი d32</t>
  </si>
  <si>
    <t>უკუ სარქველი d25</t>
  </si>
  <si>
    <t>ავტომატიზ.ჰაერშემკრები d20</t>
  </si>
  <si>
    <t>ჩამშვები ონკანი d40</t>
  </si>
  <si>
    <t>სატალახე d125</t>
  </si>
  <si>
    <t>დამცავი სარქველი d70</t>
  </si>
  <si>
    <t>უკუ სარქველი d40</t>
  </si>
  <si>
    <t>მემბრანული გამაფრათოვებელი ავზი V=125ლ</t>
  </si>
  <si>
    <t xml:space="preserve">საკონდენსაციო ქვაბი  Gassero 125 KW </t>
  </si>
  <si>
    <t>ცივი წყლის მილი d40</t>
  </si>
  <si>
    <t>ცივი წყლის მილი d32</t>
  </si>
  <si>
    <t>ცივი წყლის მილი d25</t>
  </si>
  <si>
    <t>ცივი წყლის მილი d20</t>
  </si>
  <si>
    <t>ცხელი წყლის მილი d40</t>
  </si>
  <si>
    <t>ცხელი წყლის მილი d32</t>
  </si>
  <si>
    <t>ცხელი წყლის მილი d25</t>
  </si>
  <si>
    <t>ცხელი წყლის მილი d20</t>
  </si>
  <si>
    <t>ცივი წყლის მილი d63</t>
  </si>
  <si>
    <t>ცხელი წყლის მილი d63</t>
  </si>
  <si>
    <t>ვინტილი d63</t>
  </si>
  <si>
    <t>უკუ სარქველი d63</t>
  </si>
  <si>
    <t>მილების საიზოლაციო მასალები კაუჩუკის</t>
  </si>
  <si>
    <t xml:space="preserve">სხვა დამხმარე მასალა </t>
  </si>
  <si>
    <t>ფასონური დეტალები მასალების ღირებულების 5%</t>
  </si>
  <si>
    <t>გათბობის რადიატორების ვენტილები</t>
  </si>
  <si>
    <t>საქვაბე და გათბობის რადიატორები</t>
  </si>
  <si>
    <t>საქვაბე და რადიატორები</t>
  </si>
  <si>
    <t>კ რ ე ფ ს ი თ ი</t>
  </si>
  <si>
    <t>წებოემულსია</t>
  </si>
  <si>
    <t>მდფ კარის ბლოკი ერთფრთიანი შიდა საკეტით 80X210  6 ც,</t>
  </si>
  <si>
    <r>
      <t xml:space="preserve">რენტგენოდამცავი ლითონის კარი ერთფრთიანი </t>
    </r>
    <r>
      <rPr>
        <sz val="10"/>
        <color theme="1"/>
        <rFont val="Sylfaen"/>
        <family val="1"/>
      </rPr>
      <t>(არანაკლებ 2.5მმ სისქის ტვყიის ფირფიტის შემცველობით, პოლიურეთანის სივრცული შევსებით, ფოლადის ფირფიტები არანაკლებ 1.7 მმ სისქის, ჩარჩო და კარკასი ფოლადის მილკვადრატით, ჩარჩოს მიკვადრატი შევსებული ბარიტის ხსნარით.)</t>
    </r>
  </si>
  <si>
    <t>კიბის მოაჯირების შეკეთება, შედუღების ნაკერის დამუშავება და შეღებვა ანტიკოროზიული საღებავით</t>
  </si>
  <si>
    <t>კიბის უჯრედებში ლითონის მოაჯირების გაწმენდა/გახეხვა დაზიანებული დეტალების დემონტაჟი</t>
  </si>
  <si>
    <r>
      <t xml:space="preserve">ინტერიერის ლითონის კარის ბლოკები მილკვადრატის კარკასზე, 6 მმ ნაწრთობი შუშით, მაღალი ხარისხის საღებავითა და საკეტსახელურით  </t>
    </r>
    <r>
      <rPr>
        <sz val="10"/>
        <color theme="1"/>
        <rFont val="Sylfaen"/>
        <family val="1"/>
      </rPr>
      <t>(დამკვეთთან შეთანხმებით)</t>
    </r>
  </si>
  <si>
    <r>
      <rPr>
        <b/>
        <sz val="10"/>
        <color theme="1"/>
        <rFont val="Sylfaen"/>
        <family val="1"/>
      </rPr>
      <t xml:space="preserve">მბრუნავი კარის კომპლექტი Ø 220X220 სმ მექნიკური </t>
    </r>
    <r>
      <rPr>
        <sz val="10"/>
        <color theme="1"/>
        <rFont val="Sylfaen"/>
        <family val="1"/>
      </rPr>
      <t>(დამკვეთთან შეთანხმებით)</t>
    </r>
  </si>
  <si>
    <t>ლითონის საჭრელი და სახეხი დისკები/ჯაგრისები</t>
  </si>
  <si>
    <t>საქვაბის ნაგებობის მონტაჟი კედელზე(4.5X1.5X2.5 მ)</t>
  </si>
  <si>
    <t xml:space="preserve">I სართულზე არსებული წყალგაყვანილობის Ø 150მმ ფოლადის მილის 4 მ მონაკვეთის ჩაჭრა ვერტიკალური გადამონტაჟება H=3.5 m ნიშნულზე და აღდგენა </t>
  </si>
  <si>
    <t>სპილენძის მილი Ø6.35, 10mm სისქის კაუჩულის იზოლაციით</t>
  </si>
  <si>
    <t>სპილენძის მილი Ø9.53, 10mm სისქის კაუჩულის იზოლაციით</t>
  </si>
  <si>
    <t>სპილენძის მილების ფასონური ნაწილები, სამაგრები და დამხმარე მასალები სპილენძის მილების ღირებულების 30%</t>
  </si>
  <si>
    <t>VRF_ის სისტემის კედლის ტიპის შიდა ბლოკი Qc=3.6 kw N=0.05kw,  მართვის პულტით და ავტომატიკით</t>
  </si>
  <si>
    <t>VRF_ის სისტემის კედლის ტიპის შიდა ბლოკი Qc=2.8 kw N=0.05kw,  მართვის პულტით და ავტომატიკით</t>
  </si>
  <si>
    <t>სპილენძის მილი 5/8''  10mm სისქის კაუჩულის იზოლაციით</t>
  </si>
  <si>
    <t>სპილენძის მილი 1/4''  10mm სისქის კაუჩულის იზოლაციით</t>
  </si>
  <si>
    <t xml:space="preserve">მრგვალი რეგულირებადი დიფუზორი Ø125 </t>
  </si>
  <si>
    <t>თბოიზოლირებული მოქნილი ჰაერსატარი Ø125</t>
  </si>
  <si>
    <t>გრძ./მ</t>
  </si>
  <si>
    <t>ჰაერსატარი მოთუთიებული ფურცლოვანი თუნუქისგან დამზადებული, თუნუქის სისქე 0.5 მმ</t>
  </si>
  <si>
    <r>
      <t>მ</t>
    </r>
    <r>
      <rPr>
        <vertAlign val="superscript"/>
        <sz val="10"/>
        <rFont val="Sylfaen"/>
        <family val="1"/>
      </rPr>
      <t>2</t>
    </r>
  </si>
  <si>
    <t>9მმ ჰაერსატარის თვითწებადი იზოლაცია</t>
  </si>
  <si>
    <t>ჰაერსატარის სამონტაჟო დამხმარე მასალები, აირსატარების ღირებულების 20%</t>
  </si>
  <si>
    <t>კვადრატული დიფუზორი 600×600 პლენუმბოქსით და ხარჯის რეგულატორით</t>
  </si>
  <si>
    <r>
      <t>ვენტილატორი უკუსარქველით 500 m</t>
    </r>
    <r>
      <rPr>
        <vertAlign val="superscript"/>
        <sz val="10"/>
        <rFont val="Sylfaen"/>
        <family val="1"/>
      </rPr>
      <t>3</t>
    </r>
    <r>
      <rPr>
        <sz val="10"/>
        <rFont val="Sylfaen"/>
        <family val="1"/>
      </rPr>
      <t>/h 150pa</t>
    </r>
  </si>
  <si>
    <r>
      <t>ვენტილატორი უკუსარქველით 300 m</t>
    </r>
    <r>
      <rPr>
        <vertAlign val="superscript"/>
        <sz val="10"/>
        <rFont val="Sylfaen"/>
        <family val="1"/>
      </rPr>
      <t>3</t>
    </r>
    <r>
      <rPr>
        <sz val="10"/>
        <rFont val="Sylfaen"/>
        <family val="1"/>
      </rPr>
      <t>/h 200pa</t>
    </r>
  </si>
  <si>
    <t>გაგრილება-ვენტილაცია</t>
  </si>
  <si>
    <t>სპილენძის მილების ფასონური ნაწილები, სამაგრები და დამხმარე მასალები სპილენძის მილების ღირებულების 10%</t>
  </si>
  <si>
    <t>სპლიტ სისტემა ინვენტორული კონდიციონერი, შიდა და გარე ბლოკი, Qc=7000BTU, Wi-Fi,  მართვის პულტით და ავტომატიკით, სრული კომპლექტაციით</t>
  </si>
  <si>
    <t>სპლიტ სისტემა ინვენტორული კონდიციონერი, შიდა და გარე ბლოკი, Qc=9000BTU, Wi-Fi,  მართვის პულტით და ავტომატიკით, სრული კომპლექტაციით</t>
  </si>
  <si>
    <r>
      <t xml:space="preserve">კონდიციონერი კედლის ტიპის ინვენტორული, 10-15 მ2 -ზე  </t>
    </r>
    <r>
      <rPr>
        <sz val="10"/>
        <rFont val="Sylfaen"/>
        <family val="1"/>
      </rPr>
      <t>(I-VI სართულებზე)</t>
    </r>
  </si>
  <si>
    <r>
      <t xml:space="preserve">კონდიციონერი კედლის ტიპის ინვენტორული, 15-20 მ2 -ზე  </t>
    </r>
    <r>
      <rPr>
        <sz val="10"/>
        <rFont val="Sylfaen"/>
        <family val="1"/>
      </rPr>
      <t>(I-VI სართულებზე)</t>
    </r>
  </si>
  <si>
    <r>
      <t xml:space="preserve">კონდიციონერი კედლის ტიპის ინვენტორული, 20-25 მ2 -ზე  </t>
    </r>
    <r>
      <rPr>
        <sz val="10"/>
        <rFont val="Sylfaen"/>
        <family val="1"/>
      </rPr>
      <t>(I-VI სართულებზე)</t>
    </r>
  </si>
  <si>
    <t>სპლიტ სისტემა ინვენტორული კონდიციონერი, შიდა და გარე ბლოკი, Qc=12000BTU, Wi-Fi,  მართვის პულტით და ავტომატიკით, სრული კომპლექტაციით</t>
  </si>
  <si>
    <t>სპლიტ სისტემა ინვენტორული კონდიციონერი, შიდა და გარე ბლოკი, Qc=24000BTU, Wi-Fi,  მართვის პულტით და ავტომატიკით, სრული კომპლექტაციით</t>
  </si>
  <si>
    <t>სპლიტ სისტემა ინვენტორული კონდიციონერი, შიდა და გარე ბლოკი, Qc=18000BTU, Wi-Fi,  მართვის პულტით და ავტომატიკით, სრული კომპლექტაციით</t>
  </si>
  <si>
    <r>
      <t xml:space="preserve">კონდიციონერი კედლის ტიპის ინვენტორული, 25-30 მ2 -ზე  </t>
    </r>
    <r>
      <rPr>
        <sz val="10"/>
        <rFont val="Sylfaen"/>
        <family val="1"/>
      </rPr>
      <t>(I-VI სართულებზე)</t>
    </r>
  </si>
  <si>
    <r>
      <t xml:space="preserve">კონდიციონერი კედლის ტიპის ინვენტორული, 25-40 მ2 -ზე  </t>
    </r>
    <r>
      <rPr>
        <sz val="10"/>
        <rFont val="Sylfaen"/>
        <family val="1"/>
      </rPr>
      <t>(I-VI სართულებზე) 48000 BTU</t>
    </r>
  </si>
  <si>
    <t>კოლონური კონდიციონერი, ინვენტორი, 140 მ² -მდე  (I-VI სართულებზე) 48000 BTU, Wi-Fi,  მართვის პულტით და ავტომატიკით, სრული კომპლექტაციით</t>
  </si>
  <si>
    <r>
      <t xml:space="preserve">კოლონური კონდიციონერი, ინვენტორი, 140 მ² -მდე </t>
    </r>
    <r>
      <rPr>
        <sz val="10"/>
        <rFont val="Sylfaen"/>
        <family val="1"/>
      </rPr>
      <t xml:space="preserve">(I-VI სართულებზე) </t>
    </r>
  </si>
  <si>
    <r>
      <t xml:space="preserve">მინი VRF სისტემის გარე ბლოკი Qc=5,60kw, მართვის ავტომატიკით </t>
    </r>
    <r>
      <rPr>
        <sz val="10"/>
        <rFont val="Sylfaen"/>
        <family val="1"/>
      </rPr>
      <t>(საოპერაციო, შლუზები და 1 პალატა)</t>
    </r>
  </si>
  <si>
    <t>მოქნილი ჰაერსატარი Ø125</t>
  </si>
  <si>
    <t>სველი წერტილების, რენდგენის, სამრეცხაოს და ლაბორატორიის გამწოვი სისტემა</t>
  </si>
  <si>
    <r>
      <t>ჰორიზონტალური მონტაჟის საყოფაცხოვფრებო ვენტილატორი უკუსარქველით 2000 m</t>
    </r>
    <r>
      <rPr>
        <vertAlign val="superscript"/>
        <sz val="10"/>
        <rFont val="Sylfaen"/>
        <family val="1"/>
      </rPr>
      <t>3</t>
    </r>
    <r>
      <rPr>
        <sz val="10"/>
        <rFont val="Sylfaen"/>
        <family val="1"/>
      </rPr>
      <t>/h 350pa</t>
    </r>
  </si>
  <si>
    <t>სადრენაჟე მილი</t>
  </si>
  <si>
    <t>ამწე კალათას მომსახურების ხარჯები</t>
  </si>
  <si>
    <t>მანქ/სათ</t>
  </si>
  <si>
    <t>გაგრილება/ვენტილაცია</t>
  </si>
  <si>
    <t>კედელზე დასაკიდი წყალსათბობი ქვაბი სიმძ. V=28კვტ არსებული</t>
  </si>
  <si>
    <t>გათბობის რადიატორების მონტაჟი 600*1000</t>
  </si>
  <si>
    <t>ალუმინის კაბელი 0.4კვ. კვეტ. (3X150+1X70)მმ კვ</t>
  </si>
  <si>
    <t>VRF_ის სისტემის კასეტური ტიპის შიდა ბლოკი Qc=5.6 kw N=0.05kw,  მართვის პულტით და ავტომატიკით</t>
  </si>
  <si>
    <t>დისტრიბუტორი 03D</t>
  </si>
  <si>
    <t>დისტრიბუტორი 02D</t>
  </si>
  <si>
    <t>დისტრიბუტორი 01D</t>
  </si>
  <si>
    <t>სპილენძის მილი Ø12.7, 10mm სისქის კაუჩულის იზოლაციით</t>
  </si>
  <si>
    <t>სპილენძის მილი Ø15.9, 10mm სისქის კაუჩულის იზოლაციით</t>
  </si>
  <si>
    <t>სპილენძის მილი Ø19.1, 10mm სისქის კაუჩულის იზოლაციით</t>
  </si>
  <si>
    <t>სპილენძის მილი Ø22.2, 10mm სისქის კაუჩულის იზოლაციით</t>
  </si>
  <si>
    <t>სპილენძის მილი Ø28.6, 10mm სისქის კაუჩულის იზოლაციით</t>
  </si>
  <si>
    <t>სპილენძის მილი Ø31.8, 10mm სისქის კაუჩულის იზოლაციით</t>
  </si>
  <si>
    <t>ფრეონი R410A</t>
  </si>
  <si>
    <t>სასიგნალო კაბელი 0.75mm2x3</t>
  </si>
  <si>
    <t>VRF სისტემის გარე ბლოკი Qc=61.5kw, მართვის ავტომატიკით</t>
  </si>
  <si>
    <t xml:space="preserve"> სახარჯთაღრიცხვო  ღირ-ბა    ლარი</t>
  </si>
  <si>
    <t>სახარჯთაღრიცხვო  ღირ-ბა   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</si>
</sst>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8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sz val="9"/>
      <color theme="1"/>
      <name val="Sylfaen"/>
      <family val="1"/>
    </font>
    <font>
      <sz val="9"/>
      <color theme="1"/>
      <name val="Cambria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</font>
    <font>
      <b/>
      <sz val="9"/>
      <color theme="1"/>
      <name val="Sylfaen"/>
      <family val="1"/>
    </font>
    <font>
      <i/>
      <sz val="10"/>
      <color theme="1"/>
      <name val="Sylfaen"/>
      <family val="1"/>
    </font>
    <font>
      <sz val="11"/>
      <color theme="1"/>
      <name val="Sylfaen"/>
      <family val="1"/>
    </font>
    <font>
      <sz val="11"/>
      <color theme="1"/>
      <name val="syllibri"/>
    </font>
    <font>
      <b/>
      <sz val="10"/>
      <name val="Sylfaen"/>
      <family val="1"/>
    </font>
    <font>
      <sz val="10"/>
      <name val="Arial"/>
      <family val="2"/>
    </font>
    <font>
      <sz val="8"/>
      <color theme="1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sz val="11"/>
      <name val="Sylfaen"/>
      <family val="1"/>
    </font>
    <font>
      <b/>
      <sz val="14"/>
      <name val="Sylfaen"/>
      <family val="1"/>
    </font>
    <font>
      <b/>
      <sz val="10"/>
      <color rgb="FFFF0000"/>
      <name val="Sylfaen"/>
      <family val="1"/>
    </font>
    <font>
      <b/>
      <sz val="10"/>
      <color rgb="FF00B050"/>
      <name val="Sylfaen"/>
      <family val="1"/>
    </font>
    <font>
      <b/>
      <sz val="10"/>
      <color theme="9" tint="-0.249977111117893"/>
      <name val="Sylfaen"/>
      <family val="1"/>
    </font>
    <font>
      <sz val="8"/>
      <name val="Sylfaen"/>
      <family val="1"/>
      <charset val="204"/>
    </font>
    <font>
      <sz val="10"/>
      <name val="Sylfaen"/>
      <family val="1"/>
      <charset val="204"/>
    </font>
    <font>
      <vertAlign val="superscript"/>
      <sz val="1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5" fillId="0" borderId="0" applyFont="0" applyFill="0" applyBorder="0" applyAlignment="0" applyProtection="0"/>
    <xf numFmtId="0" fontId="22" fillId="0" borderId="0"/>
    <xf numFmtId="43" fontId="15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11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1" fillId="0" borderId="0" xfId="1" applyNumberFormat="1" applyFont="1"/>
    <xf numFmtId="2" fontId="11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wrapText="1"/>
    </xf>
    <xf numFmtId="0" fontId="18" fillId="2" borderId="1" xfId="0" applyFont="1" applyFill="1" applyBorder="1" applyAlignment="1">
      <alignment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wrapText="1"/>
    </xf>
    <xf numFmtId="9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horizontal="center" wrapText="1"/>
    </xf>
    <xf numFmtId="2" fontId="11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2" fontId="11" fillId="0" borderId="4" xfId="0" applyNumberFormat="1" applyFont="1" applyBorder="1" applyAlignment="1">
      <alignment wrapText="1"/>
    </xf>
    <xf numFmtId="2" fontId="11" fillId="0" borderId="4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/>
    <xf numFmtId="2" fontId="11" fillId="0" borderId="4" xfId="0" applyNumberFormat="1" applyFont="1" applyBorder="1" applyAlignment="1">
      <alignment horizontal="center"/>
    </xf>
    <xf numFmtId="0" fontId="11" fillId="0" borderId="1" xfId="0" applyFont="1" applyBorder="1"/>
    <xf numFmtId="2" fontId="10" fillId="0" borderId="1" xfId="0" applyNumberFormat="1" applyFont="1" applyBorder="1" applyAlignment="1">
      <alignment horizontal="center"/>
    </xf>
    <xf numFmtId="0" fontId="20" fillId="0" borderId="0" xfId="0" applyFont="1"/>
    <xf numFmtId="0" fontId="19" fillId="0" borderId="0" xfId="0" applyFont="1"/>
    <xf numFmtId="0" fontId="11" fillId="2" borderId="1" xfId="0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hidden="1"/>
    </xf>
    <xf numFmtId="0" fontId="12" fillId="2" borderId="5" xfId="0" applyFont="1" applyFill="1" applyBorder="1" applyAlignment="1" applyProtection="1">
      <alignment horizontal="left" vertical="center" wrapText="1"/>
      <protection hidden="1"/>
    </xf>
    <xf numFmtId="2" fontId="12" fillId="2" borderId="1" xfId="0" applyNumberFormat="1" applyFont="1" applyFill="1" applyBorder="1" applyAlignment="1" applyProtection="1">
      <alignment horizontal="left" vertical="center" wrapText="1"/>
    </xf>
    <xf numFmtId="49" fontId="18" fillId="2" borderId="1" xfId="0" applyNumberFormat="1" applyFont="1" applyFill="1" applyBorder="1" applyAlignment="1">
      <alignment vertical="center" wrapText="1"/>
    </xf>
    <xf numFmtId="49" fontId="18" fillId="0" borderId="1" xfId="0" applyNumberFormat="1" applyFont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3" fontId="12" fillId="2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23" fillId="0" borderId="0" xfId="0" applyFont="1"/>
    <xf numFmtId="2" fontId="19" fillId="0" borderId="0" xfId="0" applyNumberFormat="1" applyFont="1"/>
    <xf numFmtId="0" fontId="23" fillId="2" borderId="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6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 vertical="center"/>
    </xf>
    <xf numFmtId="2" fontId="24" fillId="0" borderId="1" xfId="0" applyNumberFormat="1" applyFont="1" applyBorder="1"/>
    <xf numFmtId="0" fontId="26" fillId="0" borderId="1" xfId="0" applyFont="1" applyBorder="1"/>
    <xf numFmtId="0" fontId="24" fillId="0" borderId="1" xfId="0" applyFont="1" applyBorder="1"/>
    <xf numFmtId="1" fontId="11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2" fontId="1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2" fontId="32" fillId="2" borderId="1" xfId="0" applyNumberFormat="1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2" borderId="0" xfId="0" applyFill="1"/>
    <xf numFmtId="2" fontId="2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1" fillId="0" borderId="7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" fillId="3" borderId="0" xfId="0" applyFont="1" applyFill="1"/>
    <xf numFmtId="1" fontId="12" fillId="0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2" fontId="12" fillId="2" borderId="0" xfId="0" applyNumberFormat="1" applyFont="1" applyFill="1" applyBorder="1" applyAlignment="1" applyProtection="1">
      <alignment horizontal="left" vertical="center" wrapText="1"/>
    </xf>
    <xf numFmtId="43" fontId="27" fillId="0" borderId="1" xfId="3" applyFont="1" applyBorder="1"/>
  </cellXfs>
  <cellStyles count="4">
    <cellStyle name="Comma" xfId="3" builtinId="3"/>
    <cellStyle name="Normal" xfId="0" builtinId="0"/>
    <cellStyle name="Normal_E-237EstAPSmmm" xfId="2" xr:uid="{00000000-0005-0000-0000-000001000000}"/>
    <cellStyle name="Percent" xfId="1" builtinId="5"/>
  </cellStyles>
  <dxfs count="3"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</dxfs>
  <tableStyles count="0" defaultTableStyle="TableStyleMedium9" defaultPivotStyle="PivotStyleLight16"/>
  <colors>
    <mruColors>
      <color rgb="FF1C148A"/>
      <color rgb="FFFF0066"/>
      <color rgb="FFBBE6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19"/>
  <sheetViews>
    <sheetView tabSelected="1" workbookViewId="0">
      <selection activeCell="A4" sqref="A4:D4"/>
    </sheetView>
  </sheetViews>
  <sheetFormatPr defaultRowHeight="15"/>
  <cols>
    <col min="1" max="1" width="4" customWidth="1"/>
    <col min="2" max="2" width="44.140625" customWidth="1"/>
    <col min="3" max="3" width="47.42578125" customWidth="1"/>
    <col min="4" max="4" width="13.42578125" customWidth="1"/>
    <col min="5" max="5" width="13.5703125" customWidth="1"/>
  </cols>
  <sheetData>
    <row r="1" spans="1:5">
      <c r="A1" s="79"/>
      <c r="B1" s="105"/>
      <c r="C1" s="79"/>
      <c r="D1" s="79"/>
      <c r="E1" s="79"/>
    </row>
    <row r="2" spans="1:5">
      <c r="A2" s="79"/>
      <c r="B2" s="105"/>
      <c r="C2" s="79"/>
      <c r="D2" s="79"/>
      <c r="E2" s="79"/>
    </row>
    <row r="3" spans="1:5">
      <c r="A3" s="79"/>
      <c r="B3" s="105"/>
      <c r="C3" s="79"/>
      <c r="D3" s="79"/>
      <c r="E3" s="79"/>
    </row>
    <row r="4" spans="1:5" ht="45.75" customHeight="1">
      <c r="A4" s="164" t="s">
        <v>164</v>
      </c>
      <c r="B4" s="164"/>
      <c r="C4" s="164"/>
      <c r="D4" s="164"/>
      <c r="E4" s="79"/>
    </row>
    <row r="5" spans="1:5" ht="22.5" customHeight="1">
      <c r="A5" s="165" t="s">
        <v>387</v>
      </c>
      <c r="B5" s="165"/>
      <c r="C5" s="165"/>
      <c r="D5" s="165"/>
      <c r="E5" s="79"/>
    </row>
    <row r="6" spans="1:5" ht="21.75" customHeight="1">
      <c r="A6" s="108"/>
      <c r="B6" s="137"/>
      <c r="C6" s="108"/>
      <c r="D6" s="109"/>
      <c r="E6" s="79"/>
    </row>
    <row r="7" spans="1:5" ht="20.25" customHeight="1">
      <c r="A7" s="110">
        <v>1</v>
      </c>
      <c r="B7" s="111" t="s">
        <v>91</v>
      </c>
      <c r="C7" s="112">
        <f>სამშენებლო!J5</f>
        <v>0</v>
      </c>
      <c r="D7" s="113"/>
      <c r="E7" s="79"/>
    </row>
    <row r="8" spans="1:5" ht="20.25" customHeight="1">
      <c r="A8" s="110">
        <v>2</v>
      </c>
      <c r="B8" s="111" t="s">
        <v>106</v>
      </c>
      <c r="C8" s="112">
        <f>'კომპ. დაქსელვა'!K39</f>
        <v>0</v>
      </c>
      <c r="D8" s="113"/>
      <c r="E8" s="79"/>
    </row>
    <row r="9" spans="1:5" ht="20.25" customHeight="1">
      <c r="A9" s="110">
        <v>3</v>
      </c>
      <c r="B9" s="111" t="s">
        <v>96</v>
      </c>
      <c r="C9" s="112">
        <f>სახანძრო!K27</f>
        <v>0</v>
      </c>
      <c r="D9" s="113"/>
      <c r="E9" s="79"/>
    </row>
    <row r="10" spans="1:5" ht="20.25" customHeight="1">
      <c r="A10" s="110">
        <v>4</v>
      </c>
      <c r="B10" s="111" t="s">
        <v>97</v>
      </c>
      <c r="C10" s="112">
        <f>სანტექნიკა!K42</f>
        <v>0</v>
      </c>
      <c r="D10" s="113"/>
      <c r="E10" s="79"/>
    </row>
    <row r="11" spans="1:5" ht="20.25" customHeight="1">
      <c r="A11" s="110">
        <v>5</v>
      </c>
      <c r="B11" s="111" t="s">
        <v>107</v>
      </c>
      <c r="C11" s="112">
        <f>ელექტროობა!K64</f>
        <v>0</v>
      </c>
      <c r="D11" s="113"/>
      <c r="E11" s="79"/>
    </row>
    <row r="12" spans="1:5" ht="20.25" customHeight="1">
      <c r="A12" s="110">
        <v>6</v>
      </c>
      <c r="B12" s="111" t="s">
        <v>436</v>
      </c>
      <c r="C12" s="112">
        <f>'გაგრილ. ვენტილაცია'!K93</f>
        <v>0</v>
      </c>
      <c r="D12" s="113"/>
      <c r="E12" s="79"/>
    </row>
    <row r="13" spans="1:5" ht="20.25" customHeight="1">
      <c r="A13" s="110">
        <v>7</v>
      </c>
      <c r="B13" s="111" t="s">
        <v>386</v>
      </c>
      <c r="C13" s="112">
        <f>საქვაბე!K53</f>
        <v>0</v>
      </c>
      <c r="D13" s="113"/>
      <c r="E13" s="79"/>
    </row>
    <row r="14" spans="1:5" ht="20.25" customHeight="1">
      <c r="A14" s="113"/>
      <c r="B14" s="114" t="s">
        <v>105</v>
      </c>
      <c r="C14" s="180">
        <f>SUM(C7:C13)</f>
        <v>0</v>
      </c>
      <c r="D14" s="113"/>
      <c r="E14" s="106"/>
    </row>
    <row r="15" spans="1:5">
      <c r="A15" s="79" t="s">
        <v>85</v>
      </c>
      <c r="B15" s="79"/>
      <c r="C15" s="79"/>
      <c r="D15" s="79"/>
    </row>
    <row r="16" spans="1:5">
      <c r="A16" s="79"/>
      <c r="B16" s="79"/>
      <c r="C16" s="79"/>
      <c r="D16" s="79"/>
    </row>
    <row r="17" spans="1:8">
      <c r="A17" s="79"/>
      <c r="B17" s="79"/>
      <c r="C17" s="79"/>
      <c r="D17" s="79"/>
    </row>
    <row r="18" spans="1:8">
      <c r="A18" s="78"/>
      <c r="B18" s="78"/>
      <c r="C18" s="78" t="s">
        <v>85</v>
      </c>
      <c r="D18" s="78"/>
      <c r="H18" s="79"/>
    </row>
    <row r="19" spans="1:8">
      <c r="A19" s="78"/>
      <c r="B19" s="78"/>
      <c r="C19" s="78"/>
      <c r="D19" s="78"/>
    </row>
  </sheetData>
  <mergeCells count="2">
    <mergeCell ref="A4:D4"/>
    <mergeCell ref="A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2:M264"/>
  <sheetViews>
    <sheetView zoomScaleNormal="100" workbookViewId="0">
      <selection activeCell="G253" sqref="G253"/>
    </sheetView>
  </sheetViews>
  <sheetFormatPr defaultColWidth="9.140625" defaultRowHeight="15"/>
  <cols>
    <col min="1" max="1" width="3" style="3" customWidth="1"/>
    <col min="2" max="2" width="60.7109375" style="1" customWidth="1"/>
    <col min="3" max="3" width="6.28515625" style="2" customWidth="1"/>
    <col min="4" max="4" width="8.28515625" style="2" customWidth="1"/>
    <col min="5" max="5" width="8.140625" style="2" customWidth="1"/>
    <col min="6" max="6" width="10" style="2" customWidth="1"/>
    <col min="7" max="7" width="7.28515625" style="2" customWidth="1"/>
    <col min="8" max="8" width="10.5703125" style="2" customWidth="1"/>
    <col min="9" max="9" width="6.5703125" style="2" customWidth="1"/>
    <col min="10" max="10" width="8.5703125" style="2" customWidth="1"/>
    <col min="11" max="11" width="12.5703125" style="2" customWidth="1"/>
    <col min="12" max="12" width="10.140625" style="1" customWidth="1"/>
    <col min="13" max="16384" width="9.140625" style="1"/>
  </cols>
  <sheetData>
    <row r="2" spans="1:11" ht="19.5" customHeight="1">
      <c r="A2" s="166" t="s">
        <v>165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8.75" customHeight="1">
      <c r="A3" s="178" t="s">
        <v>31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8.75" customHeight="1">
      <c r="A4" s="166" t="s">
        <v>91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ht="18" customHeight="1">
      <c r="A5" s="9"/>
      <c r="B5" s="38"/>
      <c r="C5" s="169" t="s">
        <v>453</v>
      </c>
      <c r="D5" s="169"/>
      <c r="E5" s="169"/>
      <c r="F5" s="169"/>
      <c r="G5" s="169"/>
      <c r="H5" s="169"/>
      <c r="I5" s="169"/>
      <c r="J5" s="167">
        <f>K264</f>
        <v>0</v>
      </c>
      <c r="K5" s="168"/>
    </row>
    <row r="6" spans="1:11" s="3" customFormat="1" ht="33.75" customHeight="1">
      <c r="A6" s="170" t="s">
        <v>0</v>
      </c>
      <c r="B6" s="170" t="s">
        <v>1</v>
      </c>
      <c r="C6" s="170" t="s">
        <v>2</v>
      </c>
      <c r="D6" s="176" t="s">
        <v>3</v>
      </c>
      <c r="E6" s="172" t="s">
        <v>4</v>
      </c>
      <c r="F6" s="173"/>
      <c r="G6" s="172" t="s">
        <v>5</v>
      </c>
      <c r="H6" s="173"/>
      <c r="I6" s="174" t="s">
        <v>28</v>
      </c>
      <c r="J6" s="175"/>
      <c r="K6" s="170" t="s">
        <v>6</v>
      </c>
    </row>
    <row r="7" spans="1:11" s="4" customFormat="1" ht="23.25">
      <c r="A7" s="171"/>
      <c r="B7" s="171"/>
      <c r="C7" s="171"/>
      <c r="D7" s="177"/>
      <c r="E7" s="42" t="s">
        <v>7</v>
      </c>
      <c r="F7" s="43" t="s">
        <v>85</v>
      </c>
      <c r="G7" s="42" t="s">
        <v>7</v>
      </c>
      <c r="H7" s="43" t="s">
        <v>6</v>
      </c>
      <c r="I7" s="42" t="s">
        <v>7</v>
      </c>
      <c r="J7" s="43" t="s">
        <v>6</v>
      </c>
      <c r="K7" s="171"/>
    </row>
    <row r="8" spans="1:11" s="2" customFormat="1">
      <c r="A8" s="12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</row>
    <row r="9" spans="1:11" ht="19.5" customHeight="1">
      <c r="A9" s="5"/>
      <c r="B9" s="13" t="s">
        <v>19</v>
      </c>
      <c r="C9" s="44"/>
      <c r="D9" s="14"/>
      <c r="E9" s="14"/>
      <c r="F9" s="14"/>
      <c r="G9" s="14"/>
      <c r="H9" s="14"/>
      <c r="I9" s="14"/>
      <c r="J9" s="14"/>
      <c r="K9" s="14"/>
    </row>
    <row r="10" spans="1:11" ht="19.5" customHeight="1">
      <c r="A10" s="5">
        <v>1</v>
      </c>
      <c r="B10" s="20" t="s">
        <v>172</v>
      </c>
      <c r="C10" s="10" t="s">
        <v>32</v>
      </c>
      <c r="D10" s="15">
        <v>2</v>
      </c>
      <c r="E10" s="15"/>
      <c r="F10" s="15">
        <f t="shared" ref="F10:F73" si="0">E10*D10</f>
        <v>0</v>
      </c>
      <c r="G10" s="15">
        <v>0</v>
      </c>
      <c r="H10" s="15">
        <f>G10*D10</f>
        <v>0</v>
      </c>
      <c r="I10" s="15">
        <v>0</v>
      </c>
      <c r="J10" s="15">
        <f t="shared" ref="J10:J73" si="1">I10*D10</f>
        <v>0</v>
      </c>
      <c r="K10" s="15">
        <f t="shared" ref="K10:K73" si="2">J10+H10+F10</f>
        <v>0</v>
      </c>
    </row>
    <row r="11" spans="1:11" ht="19.5" customHeight="1">
      <c r="A11" s="5">
        <v>2</v>
      </c>
      <c r="B11" s="20" t="s">
        <v>173</v>
      </c>
      <c r="C11" s="10" t="s">
        <v>48</v>
      </c>
      <c r="D11" s="15">
        <v>7</v>
      </c>
      <c r="E11" s="15"/>
      <c r="F11" s="15">
        <f t="shared" si="0"/>
        <v>0</v>
      </c>
      <c r="G11" s="15">
        <v>0</v>
      </c>
      <c r="H11" s="15">
        <f t="shared" ref="H11:H74" si="3">G11*D11</f>
        <v>0</v>
      </c>
      <c r="I11" s="15">
        <v>0</v>
      </c>
      <c r="J11" s="15">
        <f t="shared" si="1"/>
        <v>0</v>
      </c>
      <c r="K11" s="15">
        <f t="shared" si="2"/>
        <v>0</v>
      </c>
    </row>
    <row r="12" spans="1:11" ht="19.5" customHeight="1">
      <c r="A12" s="5">
        <v>3</v>
      </c>
      <c r="B12" s="20" t="s">
        <v>175</v>
      </c>
      <c r="C12" s="10" t="s">
        <v>9</v>
      </c>
      <c r="D12" s="15">
        <v>3</v>
      </c>
      <c r="E12" s="15"/>
      <c r="F12" s="15">
        <f t="shared" si="0"/>
        <v>0</v>
      </c>
      <c r="G12" s="15">
        <v>0</v>
      </c>
      <c r="H12" s="15">
        <f t="shared" si="3"/>
        <v>0</v>
      </c>
      <c r="I12" s="15">
        <v>0</v>
      </c>
      <c r="J12" s="15">
        <f t="shared" si="1"/>
        <v>0</v>
      </c>
      <c r="K12" s="15">
        <f t="shared" si="2"/>
        <v>0</v>
      </c>
    </row>
    <row r="13" spans="1:11" ht="28.5" customHeight="1">
      <c r="A13" s="5">
        <v>4</v>
      </c>
      <c r="B13" s="20" t="s">
        <v>176</v>
      </c>
      <c r="C13" s="10" t="s">
        <v>48</v>
      </c>
      <c r="D13" s="15">
        <f>3.7*6+4</f>
        <v>26.200000000000003</v>
      </c>
      <c r="E13" s="15"/>
      <c r="F13" s="15">
        <f t="shared" si="0"/>
        <v>0</v>
      </c>
      <c r="G13" s="15">
        <v>0</v>
      </c>
      <c r="H13" s="15">
        <f t="shared" si="3"/>
        <v>0</v>
      </c>
      <c r="I13" s="15">
        <v>0</v>
      </c>
      <c r="J13" s="15">
        <f t="shared" si="1"/>
        <v>0</v>
      </c>
      <c r="K13" s="15">
        <f t="shared" si="2"/>
        <v>0</v>
      </c>
    </row>
    <row r="14" spans="1:11" ht="33.75" customHeight="1">
      <c r="A14" s="5">
        <v>5</v>
      </c>
      <c r="B14" s="20" t="s">
        <v>174</v>
      </c>
      <c r="C14" s="10" t="s">
        <v>48</v>
      </c>
      <c r="D14" s="15">
        <f t="shared" ref="D14" si="4">14*3.5</f>
        <v>49</v>
      </c>
      <c r="E14" s="15"/>
      <c r="F14" s="15">
        <f t="shared" si="0"/>
        <v>0</v>
      </c>
      <c r="G14" s="15">
        <v>0</v>
      </c>
      <c r="H14" s="15">
        <f t="shared" si="3"/>
        <v>0</v>
      </c>
      <c r="I14" s="15">
        <v>0</v>
      </c>
      <c r="J14" s="15">
        <f t="shared" si="1"/>
        <v>0</v>
      </c>
      <c r="K14" s="15">
        <f t="shared" si="2"/>
        <v>0</v>
      </c>
    </row>
    <row r="15" spans="1:11" ht="29.25" customHeight="1">
      <c r="A15" s="5">
        <v>6</v>
      </c>
      <c r="B15" s="20" t="s">
        <v>182</v>
      </c>
      <c r="C15" s="10" t="s">
        <v>32</v>
      </c>
      <c r="D15" s="15">
        <v>134</v>
      </c>
      <c r="E15" s="15"/>
      <c r="F15" s="15">
        <f t="shared" si="0"/>
        <v>0</v>
      </c>
      <c r="G15" s="15">
        <v>0</v>
      </c>
      <c r="H15" s="15">
        <f t="shared" si="3"/>
        <v>0</v>
      </c>
      <c r="I15" s="15">
        <v>0</v>
      </c>
      <c r="J15" s="15">
        <f t="shared" si="1"/>
        <v>0</v>
      </c>
      <c r="K15" s="15">
        <f t="shared" si="2"/>
        <v>0</v>
      </c>
    </row>
    <row r="16" spans="1:11" ht="50.25" customHeight="1">
      <c r="A16" s="5">
        <v>7</v>
      </c>
      <c r="B16" s="20" t="s">
        <v>189</v>
      </c>
      <c r="C16" s="10" t="s">
        <v>32</v>
      </c>
      <c r="D16" s="139">
        <f>15*0.28*6</f>
        <v>25.200000000000003</v>
      </c>
      <c r="E16" s="15"/>
      <c r="F16" s="15">
        <f t="shared" si="0"/>
        <v>0</v>
      </c>
      <c r="G16" s="15">
        <v>0</v>
      </c>
      <c r="H16" s="15">
        <f t="shared" si="3"/>
        <v>0</v>
      </c>
      <c r="I16" s="15">
        <v>0</v>
      </c>
      <c r="J16" s="15">
        <f t="shared" si="1"/>
        <v>0</v>
      </c>
      <c r="K16" s="15">
        <f t="shared" si="2"/>
        <v>0</v>
      </c>
    </row>
    <row r="17" spans="1:13" ht="39" customHeight="1">
      <c r="A17" s="5">
        <v>8</v>
      </c>
      <c r="B17" s="20" t="s">
        <v>292</v>
      </c>
      <c r="C17" s="10" t="s">
        <v>32</v>
      </c>
      <c r="D17" s="15">
        <v>4</v>
      </c>
      <c r="E17" s="15"/>
      <c r="F17" s="15">
        <f t="shared" si="0"/>
        <v>0</v>
      </c>
      <c r="G17" s="15">
        <v>0</v>
      </c>
      <c r="H17" s="15">
        <f t="shared" si="3"/>
        <v>0</v>
      </c>
      <c r="I17" s="15">
        <v>0</v>
      </c>
      <c r="J17" s="15">
        <f t="shared" si="1"/>
        <v>0</v>
      </c>
      <c r="K17" s="15">
        <f t="shared" si="2"/>
        <v>0</v>
      </c>
    </row>
    <row r="18" spans="1:13" ht="19.5" customHeight="1">
      <c r="A18" s="5">
        <v>9</v>
      </c>
      <c r="B18" s="20" t="s">
        <v>177</v>
      </c>
      <c r="C18" s="10" t="s">
        <v>48</v>
      </c>
      <c r="D18" s="15">
        <v>10</v>
      </c>
      <c r="E18" s="15"/>
      <c r="F18" s="15">
        <f t="shared" si="0"/>
        <v>0</v>
      </c>
      <c r="G18" s="15">
        <v>0</v>
      </c>
      <c r="H18" s="15">
        <f t="shared" si="3"/>
        <v>0</v>
      </c>
      <c r="I18" s="15">
        <v>0</v>
      </c>
      <c r="J18" s="15">
        <f t="shared" si="1"/>
        <v>0</v>
      </c>
      <c r="K18" s="15">
        <f t="shared" si="2"/>
        <v>0</v>
      </c>
    </row>
    <row r="19" spans="1:13" ht="19.5" customHeight="1">
      <c r="A19" s="5">
        <v>10</v>
      </c>
      <c r="B19" s="20" t="s">
        <v>178</v>
      </c>
      <c r="C19" s="10" t="s">
        <v>48</v>
      </c>
      <c r="D19" s="15">
        <f>3.5*5.9</f>
        <v>20.650000000000002</v>
      </c>
      <c r="E19" s="15"/>
      <c r="F19" s="15">
        <f t="shared" si="0"/>
        <v>0</v>
      </c>
      <c r="G19" s="15">
        <v>0</v>
      </c>
      <c r="H19" s="15">
        <f t="shared" si="3"/>
        <v>0</v>
      </c>
      <c r="I19" s="15">
        <v>0</v>
      </c>
      <c r="J19" s="15">
        <f t="shared" si="1"/>
        <v>0</v>
      </c>
      <c r="K19" s="15">
        <f t="shared" si="2"/>
        <v>0</v>
      </c>
    </row>
    <row r="20" spans="1:13" ht="30" customHeight="1">
      <c r="A20" s="5">
        <v>11</v>
      </c>
      <c r="B20" s="20" t="s">
        <v>188</v>
      </c>
      <c r="C20" s="10" t="s">
        <v>9</v>
      </c>
      <c r="D20" s="15">
        <f>6*13</f>
        <v>78</v>
      </c>
      <c r="E20" s="15"/>
      <c r="F20" s="15">
        <f t="shared" si="0"/>
        <v>0</v>
      </c>
      <c r="G20" s="15">
        <v>0</v>
      </c>
      <c r="H20" s="15">
        <f t="shared" si="3"/>
        <v>0</v>
      </c>
      <c r="I20" s="15">
        <v>0</v>
      </c>
      <c r="J20" s="15">
        <f t="shared" si="1"/>
        <v>0</v>
      </c>
      <c r="K20" s="15">
        <f t="shared" si="2"/>
        <v>0</v>
      </c>
    </row>
    <row r="21" spans="1:13" ht="18.75" customHeight="1">
      <c r="A21" s="5">
        <v>12</v>
      </c>
      <c r="B21" s="20" t="s">
        <v>180</v>
      </c>
      <c r="C21" s="10" t="s">
        <v>48</v>
      </c>
      <c r="D21" s="15">
        <v>78</v>
      </c>
      <c r="E21" s="15"/>
      <c r="F21" s="15">
        <f t="shared" si="0"/>
        <v>0</v>
      </c>
      <c r="G21" s="15">
        <v>0</v>
      </c>
      <c r="H21" s="15">
        <f t="shared" si="3"/>
        <v>0</v>
      </c>
      <c r="I21" s="15">
        <v>0</v>
      </c>
      <c r="J21" s="15">
        <f t="shared" si="1"/>
        <v>0</v>
      </c>
      <c r="K21" s="15">
        <f t="shared" si="2"/>
        <v>0</v>
      </c>
      <c r="M21" s="39"/>
    </row>
    <row r="22" spans="1:13" ht="18.75" customHeight="1">
      <c r="A22" s="5">
        <v>13</v>
      </c>
      <c r="B22" s="20" t="s">
        <v>181</v>
      </c>
      <c r="C22" s="10" t="s">
        <v>48</v>
      </c>
      <c r="D22" s="15">
        <f>30*1.5+18+36*1.5+18</f>
        <v>135</v>
      </c>
      <c r="E22" s="15"/>
      <c r="F22" s="15">
        <f t="shared" si="0"/>
        <v>0</v>
      </c>
      <c r="G22" s="15">
        <v>0</v>
      </c>
      <c r="H22" s="15">
        <f t="shared" si="3"/>
        <v>0</v>
      </c>
      <c r="I22" s="15">
        <v>0</v>
      </c>
      <c r="J22" s="15">
        <f t="shared" si="1"/>
        <v>0</v>
      </c>
      <c r="K22" s="15">
        <f t="shared" si="2"/>
        <v>0</v>
      </c>
      <c r="M22" s="39"/>
    </row>
    <row r="23" spans="1:13" ht="18.75" customHeight="1">
      <c r="A23" s="5">
        <v>14</v>
      </c>
      <c r="B23" s="20" t="s">
        <v>183</v>
      </c>
      <c r="C23" s="10" t="s">
        <v>48</v>
      </c>
      <c r="D23" s="15">
        <f>36*1.5+18</f>
        <v>72</v>
      </c>
      <c r="E23" s="15"/>
      <c r="F23" s="15">
        <f t="shared" si="0"/>
        <v>0</v>
      </c>
      <c r="G23" s="15">
        <v>0</v>
      </c>
      <c r="H23" s="15">
        <f t="shared" si="3"/>
        <v>0</v>
      </c>
      <c r="I23" s="15">
        <v>0</v>
      </c>
      <c r="J23" s="15">
        <f t="shared" si="1"/>
        <v>0</v>
      </c>
      <c r="K23" s="15">
        <f t="shared" si="2"/>
        <v>0</v>
      </c>
      <c r="M23" s="39"/>
    </row>
    <row r="24" spans="1:13" ht="18.75" customHeight="1">
      <c r="A24" s="5">
        <v>15</v>
      </c>
      <c r="B24" s="20" t="s">
        <v>184</v>
      </c>
      <c r="C24" s="10" t="s">
        <v>48</v>
      </c>
      <c r="D24" s="15">
        <f>36*1.5+14</f>
        <v>68</v>
      </c>
      <c r="E24" s="15"/>
      <c r="F24" s="15">
        <f t="shared" si="0"/>
        <v>0</v>
      </c>
      <c r="G24" s="15">
        <v>0</v>
      </c>
      <c r="H24" s="15">
        <f t="shared" si="3"/>
        <v>0</v>
      </c>
      <c r="I24" s="15">
        <v>0</v>
      </c>
      <c r="J24" s="15">
        <f t="shared" si="1"/>
        <v>0</v>
      </c>
      <c r="K24" s="15">
        <f t="shared" si="2"/>
        <v>0</v>
      </c>
      <c r="M24" s="39"/>
    </row>
    <row r="25" spans="1:13" ht="18.75" customHeight="1">
      <c r="A25" s="5">
        <v>16</v>
      </c>
      <c r="B25" s="20" t="s">
        <v>185</v>
      </c>
      <c r="C25" s="10" t="s">
        <v>10</v>
      </c>
      <c r="D25" s="15">
        <v>36</v>
      </c>
      <c r="E25" s="15"/>
      <c r="F25" s="15">
        <f t="shared" si="0"/>
        <v>0</v>
      </c>
      <c r="G25" s="15">
        <v>0</v>
      </c>
      <c r="H25" s="15">
        <f t="shared" si="3"/>
        <v>0</v>
      </c>
      <c r="I25" s="15">
        <v>0</v>
      </c>
      <c r="J25" s="15">
        <f t="shared" si="1"/>
        <v>0</v>
      </c>
      <c r="K25" s="15">
        <f t="shared" si="2"/>
        <v>0</v>
      </c>
      <c r="M25" s="39"/>
    </row>
    <row r="26" spans="1:13" ht="18.75" customHeight="1">
      <c r="A26" s="5">
        <v>17</v>
      </c>
      <c r="B26" s="20" t="s">
        <v>179</v>
      </c>
      <c r="C26" s="10" t="s">
        <v>9</v>
      </c>
      <c r="D26" s="15">
        <v>18</v>
      </c>
      <c r="E26" s="15"/>
      <c r="F26" s="15">
        <f t="shared" si="0"/>
        <v>0</v>
      </c>
      <c r="G26" s="15">
        <v>0</v>
      </c>
      <c r="H26" s="15">
        <f t="shared" si="3"/>
        <v>0</v>
      </c>
      <c r="I26" s="15">
        <v>0</v>
      </c>
      <c r="J26" s="15">
        <f t="shared" si="1"/>
        <v>0</v>
      </c>
      <c r="K26" s="15">
        <f t="shared" si="2"/>
        <v>0</v>
      </c>
      <c r="M26" s="39"/>
    </row>
    <row r="27" spans="1:13" ht="18.75" customHeight="1">
      <c r="A27" s="5">
        <v>18</v>
      </c>
      <c r="B27" s="20" t="s">
        <v>186</v>
      </c>
      <c r="C27" s="10" t="s">
        <v>9</v>
      </c>
      <c r="D27" s="15">
        <v>18</v>
      </c>
      <c r="E27" s="15"/>
      <c r="F27" s="15">
        <f t="shared" si="0"/>
        <v>0</v>
      </c>
      <c r="G27" s="15">
        <v>0</v>
      </c>
      <c r="H27" s="15">
        <f t="shared" si="3"/>
        <v>0</v>
      </c>
      <c r="I27" s="15">
        <v>0</v>
      </c>
      <c r="J27" s="15">
        <f t="shared" si="1"/>
        <v>0</v>
      </c>
      <c r="K27" s="15">
        <f t="shared" si="2"/>
        <v>0</v>
      </c>
      <c r="M27" s="39"/>
    </row>
    <row r="28" spans="1:13" ht="18.75" customHeight="1">
      <c r="A28" s="5">
        <v>19</v>
      </c>
      <c r="B28" s="20" t="s">
        <v>187</v>
      </c>
      <c r="C28" s="10" t="s">
        <v>9</v>
      </c>
      <c r="D28" s="15">
        <v>5</v>
      </c>
      <c r="E28" s="15"/>
      <c r="F28" s="15">
        <f t="shared" si="0"/>
        <v>0</v>
      </c>
      <c r="G28" s="15">
        <v>0</v>
      </c>
      <c r="H28" s="15">
        <f t="shared" si="3"/>
        <v>0</v>
      </c>
      <c r="I28" s="15">
        <v>0</v>
      </c>
      <c r="J28" s="15">
        <f t="shared" si="1"/>
        <v>0</v>
      </c>
      <c r="K28" s="15">
        <f t="shared" si="2"/>
        <v>0</v>
      </c>
      <c r="M28" s="39"/>
    </row>
    <row r="29" spans="1:13" ht="30" customHeight="1">
      <c r="A29" s="5">
        <v>20</v>
      </c>
      <c r="B29" s="20" t="s">
        <v>190</v>
      </c>
      <c r="C29" s="10" t="s">
        <v>9</v>
      </c>
      <c r="D29" s="15">
        <v>5</v>
      </c>
      <c r="E29" s="15"/>
      <c r="F29" s="15">
        <f t="shared" si="0"/>
        <v>0</v>
      </c>
      <c r="G29" s="15">
        <v>0</v>
      </c>
      <c r="H29" s="15">
        <f t="shared" si="3"/>
        <v>0</v>
      </c>
      <c r="I29" s="15">
        <v>0</v>
      </c>
      <c r="J29" s="15">
        <f t="shared" si="1"/>
        <v>0</v>
      </c>
      <c r="K29" s="15">
        <f t="shared" si="2"/>
        <v>0</v>
      </c>
      <c r="M29" s="39"/>
    </row>
    <row r="30" spans="1:13" ht="18.75" customHeight="1">
      <c r="A30" s="5">
        <v>21</v>
      </c>
      <c r="B30" s="20" t="s">
        <v>191</v>
      </c>
      <c r="C30" s="10" t="s">
        <v>48</v>
      </c>
      <c r="D30" s="139">
        <f>1170-761</f>
        <v>409</v>
      </c>
      <c r="E30" s="15"/>
      <c r="F30" s="15">
        <f t="shared" si="0"/>
        <v>0</v>
      </c>
      <c r="G30" s="15">
        <v>0</v>
      </c>
      <c r="H30" s="15">
        <f t="shared" si="3"/>
        <v>0</v>
      </c>
      <c r="I30" s="15">
        <v>0</v>
      </c>
      <c r="J30" s="15">
        <f t="shared" si="1"/>
        <v>0</v>
      </c>
      <c r="K30" s="15">
        <f t="shared" si="2"/>
        <v>0</v>
      </c>
      <c r="M30" s="39"/>
    </row>
    <row r="31" spans="1:13" ht="18.75" customHeight="1">
      <c r="A31" s="5">
        <v>22</v>
      </c>
      <c r="B31" s="20" t="s">
        <v>192</v>
      </c>
      <c r="C31" s="10" t="s">
        <v>48</v>
      </c>
      <c r="D31" s="15">
        <v>150</v>
      </c>
      <c r="E31" s="15"/>
      <c r="F31" s="15">
        <f t="shared" si="0"/>
        <v>0</v>
      </c>
      <c r="G31" s="15">
        <v>0</v>
      </c>
      <c r="H31" s="15">
        <f t="shared" si="3"/>
        <v>0</v>
      </c>
      <c r="I31" s="15">
        <v>0</v>
      </c>
      <c r="J31" s="15">
        <f t="shared" si="1"/>
        <v>0</v>
      </c>
      <c r="K31" s="15">
        <f t="shared" si="2"/>
        <v>0</v>
      </c>
      <c r="M31" s="39"/>
    </row>
    <row r="32" spans="1:13" ht="18.75" customHeight="1">
      <c r="A32" s="5">
        <v>23</v>
      </c>
      <c r="B32" s="20" t="s">
        <v>193</v>
      </c>
      <c r="C32" s="10" t="s">
        <v>48</v>
      </c>
      <c r="D32" s="15">
        <f>6*12</f>
        <v>72</v>
      </c>
      <c r="E32" s="15"/>
      <c r="F32" s="15">
        <f t="shared" si="0"/>
        <v>0</v>
      </c>
      <c r="G32" s="15">
        <v>0</v>
      </c>
      <c r="H32" s="15">
        <f t="shared" si="3"/>
        <v>0</v>
      </c>
      <c r="I32" s="15">
        <v>0</v>
      </c>
      <c r="J32" s="15">
        <f t="shared" si="1"/>
        <v>0</v>
      </c>
      <c r="K32" s="15">
        <f t="shared" si="2"/>
        <v>0</v>
      </c>
      <c r="M32" s="39"/>
    </row>
    <row r="33" spans="1:11" ht="33" customHeight="1">
      <c r="A33" s="5">
        <v>24</v>
      </c>
      <c r="B33" s="20" t="s">
        <v>194</v>
      </c>
      <c r="C33" s="10" t="s">
        <v>10</v>
      </c>
      <c r="D33" s="15">
        <v>15</v>
      </c>
      <c r="E33" s="15"/>
      <c r="F33" s="15">
        <f t="shared" si="0"/>
        <v>0</v>
      </c>
      <c r="G33" s="15">
        <v>0</v>
      </c>
      <c r="H33" s="15">
        <f t="shared" si="3"/>
        <v>0</v>
      </c>
      <c r="I33" s="15">
        <v>0</v>
      </c>
      <c r="J33" s="15">
        <f t="shared" si="1"/>
        <v>0</v>
      </c>
      <c r="K33" s="15">
        <f t="shared" si="2"/>
        <v>0</v>
      </c>
    </row>
    <row r="34" spans="1:11" ht="33.75" customHeight="1">
      <c r="A34" s="5">
        <v>25</v>
      </c>
      <c r="B34" s="20" t="s">
        <v>195</v>
      </c>
      <c r="C34" s="10" t="s">
        <v>129</v>
      </c>
      <c r="D34" s="15">
        <v>94</v>
      </c>
      <c r="E34" s="15"/>
      <c r="F34" s="15">
        <f t="shared" si="0"/>
        <v>0</v>
      </c>
      <c r="G34" s="15">
        <v>0</v>
      </c>
      <c r="H34" s="15">
        <f t="shared" si="3"/>
        <v>0</v>
      </c>
      <c r="I34" s="15">
        <v>0</v>
      </c>
      <c r="J34" s="15">
        <f t="shared" si="1"/>
        <v>0</v>
      </c>
      <c r="K34" s="15">
        <f t="shared" si="2"/>
        <v>0</v>
      </c>
    </row>
    <row r="35" spans="1:11" ht="33.75" customHeight="1">
      <c r="A35" s="5">
        <v>26</v>
      </c>
      <c r="B35" s="20" t="s">
        <v>392</v>
      </c>
      <c r="C35" s="10" t="s">
        <v>48</v>
      </c>
      <c r="D35" s="15">
        <v>112</v>
      </c>
      <c r="E35" s="15"/>
      <c r="F35" s="15">
        <f t="shared" si="0"/>
        <v>0</v>
      </c>
      <c r="G35" s="15">
        <v>0</v>
      </c>
      <c r="H35" s="15">
        <f t="shared" si="3"/>
        <v>0</v>
      </c>
      <c r="I35" s="15">
        <v>0</v>
      </c>
      <c r="J35" s="15">
        <f t="shared" si="1"/>
        <v>0</v>
      </c>
      <c r="K35" s="15">
        <f t="shared" si="2"/>
        <v>0</v>
      </c>
    </row>
    <row r="36" spans="1:11" ht="30.75" customHeight="1">
      <c r="A36" s="5">
        <v>27</v>
      </c>
      <c r="B36" s="6" t="s">
        <v>196</v>
      </c>
      <c r="C36" s="34" t="s">
        <v>32</v>
      </c>
      <c r="D36" s="140">
        <f>(D10+D15+D16)+9*0.2+D32*0.012+5</f>
        <v>168.864</v>
      </c>
      <c r="E36" s="23"/>
      <c r="F36" s="15">
        <f t="shared" si="0"/>
        <v>0</v>
      </c>
      <c r="G36" s="15">
        <v>0</v>
      </c>
      <c r="H36" s="15">
        <f t="shared" si="3"/>
        <v>0</v>
      </c>
      <c r="I36" s="15">
        <v>0</v>
      </c>
      <c r="J36" s="15">
        <f t="shared" si="1"/>
        <v>0</v>
      </c>
      <c r="K36" s="15">
        <f t="shared" si="2"/>
        <v>0</v>
      </c>
    </row>
    <row r="37" spans="1:11" ht="18.75" customHeight="1">
      <c r="A37" s="5">
        <v>28</v>
      </c>
      <c r="B37" s="6" t="s">
        <v>44</v>
      </c>
      <c r="C37" s="34" t="s">
        <v>39</v>
      </c>
      <c r="D37" s="140">
        <f>D36*1.8+D30*0.006+D31*0.006+D23*0.025+D22*0.003</f>
        <v>309.51419999999996</v>
      </c>
      <c r="E37" s="23"/>
      <c r="F37" s="15">
        <f t="shared" si="0"/>
        <v>0</v>
      </c>
      <c r="G37" s="15">
        <v>0</v>
      </c>
      <c r="H37" s="15">
        <f t="shared" si="3"/>
        <v>0</v>
      </c>
      <c r="I37" s="15">
        <v>0</v>
      </c>
      <c r="J37" s="15">
        <f t="shared" si="1"/>
        <v>0</v>
      </c>
      <c r="K37" s="15">
        <f t="shared" si="2"/>
        <v>0</v>
      </c>
    </row>
    <row r="38" spans="1:11" ht="24" customHeight="1">
      <c r="A38" s="5"/>
      <c r="B38" s="116" t="s">
        <v>25</v>
      </c>
      <c r="C38" s="34"/>
      <c r="D38" s="23"/>
      <c r="E38" s="23"/>
      <c r="F38" s="15">
        <f t="shared" si="0"/>
        <v>0</v>
      </c>
      <c r="G38" s="23"/>
      <c r="H38" s="15">
        <f t="shared" si="3"/>
        <v>0</v>
      </c>
      <c r="I38" s="23"/>
      <c r="J38" s="15">
        <f t="shared" si="1"/>
        <v>0</v>
      </c>
      <c r="K38" s="15">
        <f t="shared" si="2"/>
        <v>0</v>
      </c>
    </row>
    <row r="39" spans="1:11" ht="45" customHeight="1">
      <c r="A39" s="50">
        <v>1</v>
      </c>
      <c r="B39" s="18" t="s">
        <v>228</v>
      </c>
      <c r="C39" s="10" t="s">
        <v>48</v>
      </c>
      <c r="D39" s="15">
        <f>5*1.5</f>
        <v>7.5</v>
      </c>
      <c r="E39" s="15"/>
      <c r="F39" s="15">
        <f t="shared" si="0"/>
        <v>0</v>
      </c>
      <c r="G39" s="15">
        <v>0</v>
      </c>
      <c r="H39" s="15">
        <f t="shared" si="3"/>
        <v>0</v>
      </c>
      <c r="I39" s="15"/>
      <c r="J39" s="15">
        <f t="shared" si="1"/>
        <v>0</v>
      </c>
      <c r="K39" s="15">
        <f t="shared" si="2"/>
        <v>0</v>
      </c>
    </row>
    <row r="40" spans="1:11" ht="18.75" customHeight="1">
      <c r="A40" s="50"/>
      <c r="B40" s="22" t="s">
        <v>229</v>
      </c>
      <c r="C40" s="34" t="s">
        <v>10</v>
      </c>
      <c r="D40" s="28">
        <v>12</v>
      </c>
      <c r="E40" s="24"/>
      <c r="F40" s="15">
        <f t="shared" si="0"/>
        <v>0</v>
      </c>
      <c r="G40" s="24"/>
      <c r="H40" s="15">
        <f t="shared" si="3"/>
        <v>0</v>
      </c>
      <c r="I40" s="24">
        <v>0</v>
      </c>
      <c r="J40" s="15">
        <f t="shared" si="1"/>
        <v>0</v>
      </c>
      <c r="K40" s="15">
        <f t="shared" si="2"/>
        <v>0</v>
      </c>
    </row>
    <row r="41" spans="1:11" ht="15.75" customHeight="1">
      <c r="A41" s="50"/>
      <c r="B41" s="22" t="s">
        <v>230</v>
      </c>
      <c r="C41" s="34" t="s">
        <v>10</v>
      </c>
      <c r="D41" s="24">
        <v>24</v>
      </c>
      <c r="E41" s="24">
        <v>0</v>
      </c>
      <c r="F41" s="15">
        <f t="shared" si="0"/>
        <v>0</v>
      </c>
      <c r="G41" s="24"/>
      <c r="H41" s="15">
        <f t="shared" si="3"/>
        <v>0</v>
      </c>
      <c r="I41" s="24">
        <v>0</v>
      </c>
      <c r="J41" s="15">
        <f t="shared" si="1"/>
        <v>0</v>
      </c>
      <c r="K41" s="15">
        <f t="shared" si="2"/>
        <v>0</v>
      </c>
    </row>
    <row r="42" spans="1:11" ht="18.75" customHeight="1">
      <c r="A42" s="50"/>
      <c r="B42" s="22" t="s">
        <v>231</v>
      </c>
      <c r="C42" s="34" t="s">
        <v>10</v>
      </c>
      <c r="D42" s="24">
        <v>20</v>
      </c>
      <c r="E42" s="24">
        <v>0</v>
      </c>
      <c r="F42" s="15">
        <f t="shared" si="0"/>
        <v>0</v>
      </c>
      <c r="G42" s="24"/>
      <c r="H42" s="15">
        <f t="shared" si="3"/>
        <v>0</v>
      </c>
      <c r="I42" s="24">
        <v>0</v>
      </c>
      <c r="J42" s="15">
        <f t="shared" si="1"/>
        <v>0</v>
      </c>
      <c r="K42" s="15">
        <f t="shared" si="2"/>
        <v>0</v>
      </c>
    </row>
    <row r="43" spans="1:11" ht="30" customHeight="1">
      <c r="A43" s="50"/>
      <c r="B43" s="22" t="s">
        <v>236</v>
      </c>
      <c r="C43" s="23" t="s">
        <v>8</v>
      </c>
      <c r="D43" s="24">
        <f>D39*1.2</f>
        <v>9</v>
      </c>
      <c r="E43" s="24">
        <v>0</v>
      </c>
      <c r="F43" s="15">
        <f t="shared" si="0"/>
        <v>0</v>
      </c>
      <c r="G43" s="24"/>
      <c r="H43" s="15">
        <f t="shared" si="3"/>
        <v>0</v>
      </c>
      <c r="I43" s="24">
        <v>0</v>
      </c>
      <c r="J43" s="15">
        <f t="shared" si="1"/>
        <v>0</v>
      </c>
      <c r="K43" s="15">
        <f t="shared" si="2"/>
        <v>0</v>
      </c>
    </row>
    <row r="44" spans="1:11" ht="18.75" customHeight="1">
      <c r="A44" s="50"/>
      <c r="B44" s="22" t="s">
        <v>232</v>
      </c>
      <c r="C44" s="23" t="s">
        <v>10</v>
      </c>
      <c r="D44" s="24">
        <v>12</v>
      </c>
      <c r="E44" s="24">
        <v>0</v>
      </c>
      <c r="F44" s="15">
        <f t="shared" si="0"/>
        <v>0</v>
      </c>
      <c r="G44" s="24"/>
      <c r="H44" s="15">
        <f t="shared" si="3"/>
        <v>0</v>
      </c>
      <c r="I44" s="24">
        <v>0</v>
      </c>
      <c r="J44" s="15">
        <f t="shared" si="1"/>
        <v>0</v>
      </c>
      <c r="K44" s="15">
        <f t="shared" si="2"/>
        <v>0</v>
      </c>
    </row>
    <row r="45" spans="1:11" ht="18.75" customHeight="1">
      <c r="A45" s="50"/>
      <c r="B45" s="22" t="s">
        <v>233</v>
      </c>
      <c r="C45" s="23" t="s">
        <v>10</v>
      </c>
      <c r="D45" s="24">
        <v>6</v>
      </c>
      <c r="E45" s="24">
        <v>0</v>
      </c>
      <c r="F45" s="15">
        <f t="shared" si="0"/>
        <v>0</v>
      </c>
      <c r="G45" s="24"/>
      <c r="H45" s="15">
        <f t="shared" si="3"/>
        <v>0</v>
      </c>
      <c r="I45" s="24">
        <v>0</v>
      </c>
      <c r="J45" s="15">
        <f t="shared" si="1"/>
        <v>0</v>
      </c>
      <c r="K45" s="15">
        <f t="shared" si="2"/>
        <v>0</v>
      </c>
    </row>
    <row r="46" spans="1:11" ht="18.75" customHeight="1">
      <c r="A46" s="50"/>
      <c r="B46" s="22" t="s">
        <v>234</v>
      </c>
      <c r="C46" s="23" t="s">
        <v>36</v>
      </c>
      <c r="D46" s="24">
        <v>5</v>
      </c>
      <c r="E46" s="24">
        <v>0</v>
      </c>
      <c r="F46" s="15">
        <f t="shared" si="0"/>
        <v>0</v>
      </c>
      <c r="G46" s="24"/>
      <c r="H46" s="15">
        <f t="shared" si="3"/>
        <v>0</v>
      </c>
      <c r="I46" s="24">
        <v>0</v>
      </c>
      <c r="J46" s="15">
        <f t="shared" si="1"/>
        <v>0</v>
      </c>
      <c r="K46" s="15">
        <f t="shared" si="2"/>
        <v>0</v>
      </c>
    </row>
    <row r="47" spans="1:11" ht="18.75" customHeight="1">
      <c r="A47" s="50"/>
      <c r="B47" s="22" t="s">
        <v>235</v>
      </c>
      <c r="C47" s="23" t="s">
        <v>36</v>
      </c>
      <c r="D47" s="24">
        <f>D45*2</f>
        <v>12</v>
      </c>
      <c r="E47" s="24">
        <v>0</v>
      </c>
      <c r="F47" s="15">
        <f t="shared" si="0"/>
        <v>0</v>
      </c>
      <c r="G47" s="24"/>
      <c r="H47" s="15">
        <f t="shared" si="3"/>
        <v>0</v>
      </c>
      <c r="I47" s="24">
        <v>0</v>
      </c>
      <c r="J47" s="15">
        <f t="shared" si="1"/>
        <v>0</v>
      </c>
      <c r="K47" s="15">
        <f t="shared" si="2"/>
        <v>0</v>
      </c>
    </row>
    <row r="48" spans="1:11" ht="18.75" customHeight="1">
      <c r="A48" s="50"/>
      <c r="B48" s="22" t="s">
        <v>225</v>
      </c>
      <c r="C48" s="34" t="s">
        <v>13</v>
      </c>
      <c r="D48" s="24">
        <v>8</v>
      </c>
      <c r="E48" s="24">
        <v>0</v>
      </c>
      <c r="F48" s="15">
        <f t="shared" si="0"/>
        <v>0</v>
      </c>
      <c r="G48" s="24"/>
      <c r="H48" s="15">
        <f t="shared" si="3"/>
        <v>0</v>
      </c>
      <c r="I48" s="24">
        <v>0</v>
      </c>
      <c r="J48" s="15">
        <f t="shared" si="1"/>
        <v>0</v>
      </c>
      <c r="K48" s="15">
        <f t="shared" si="2"/>
        <v>0</v>
      </c>
    </row>
    <row r="49" spans="1:11" ht="18.75" customHeight="1">
      <c r="A49" s="50"/>
      <c r="B49" s="22" t="s">
        <v>86</v>
      </c>
      <c r="C49" s="34" t="s">
        <v>87</v>
      </c>
      <c r="D49" s="24">
        <f>D48*0.3</f>
        <v>2.4</v>
      </c>
      <c r="E49" s="24">
        <v>0</v>
      </c>
      <c r="F49" s="15">
        <f t="shared" si="0"/>
        <v>0</v>
      </c>
      <c r="G49" s="24"/>
      <c r="H49" s="15">
        <f t="shared" si="3"/>
        <v>0</v>
      </c>
      <c r="I49" s="24">
        <v>0</v>
      </c>
      <c r="J49" s="15">
        <f t="shared" si="1"/>
        <v>0</v>
      </c>
      <c r="K49" s="15">
        <f t="shared" si="2"/>
        <v>0</v>
      </c>
    </row>
    <row r="50" spans="1:11" ht="18.75" customHeight="1">
      <c r="A50" s="50"/>
      <c r="B50" s="22" t="s">
        <v>226</v>
      </c>
      <c r="C50" s="34" t="s">
        <v>13</v>
      </c>
      <c r="D50" s="24">
        <v>0.5</v>
      </c>
      <c r="E50" s="24">
        <v>0</v>
      </c>
      <c r="F50" s="15">
        <f t="shared" si="0"/>
        <v>0</v>
      </c>
      <c r="G50" s="24"/>
      <c r="H50" s="15">
        <f t="shared" si="3"/>
        <v>0</v>
      </c>
      <c r="I50" s="24">
        <v>0</v>
      </c>
      <c r="J50" s="15">
        <f t="shared" si="1"/>
        <v>0</v>
      </c>
      <c r="K50" s="15">
        <f t="shared" si="2"/>
        <v>0</v>
      </c>
    </row>
    <row r="51" spans="1:11" ht="18.75" customHeight="1">
      <c r="A51" s="50"/>
      <c r="B51" s="22" t="s">
        <v>88</v>
      </c>
      <c r="C51" s="34" t="s">
        <v>13</v>
      </c>
      <c r="D51" s="24">
        <f>D39*0.15</f>
        <v>1.125</v>
      </c>
      <c r="E51" s="24">
        <v>0</v>
      </c>
      <c r="F51" s="15">
        <f t="shared" si="0"/>
        <v>0</v>
      </c>
      <c r="G51" s="24"/>
      <c r="H51" s="15">
        <f t="shared" si="3"/>
        <v>0</v>
      </c>
      <c r="I51" s="24">
        <v>0</v>
      </c>
      <c r="J51" s="15">
        <f t="shared" si="1"/>
        <v>0</v>
      </c>
      <c r="K51" s="15">
        <f t="shared" si="2"/>
        <v>0</v>
      </c>
    </row>
    <row r="52" spans="1:11" ht="18.75" customHeight="1">
      <c r="A52" s="50"/>
      <c r="B52" s="22" t="s">
        <v>227</v>
      </c>
      <c r="C52" s="34" t="s">
        <v>36</v>
      </c>
      <c r="D52" s="24">
        <v>7</v>
      </c>
      <c r="E52" s="24">
        <v>0</v>
      </c>
      <c r="F52" s="15">
        <f t="shared" si="0"/>
        <v>0</v>
      </c>
      <c r="G52" s="24"/>
      <c r="H52" s="15">
        <f t="shared" si="3"/>
        <v>0</v>
      </c>
      <c r="I52" s="24">
        <v>0</v>
      </c>
      <c r="J52" s="15">
        <f t="shared" si="1"/>
        <v>0</v>
      </c>
      <c r="K52" s="15">
        <f t="shared" si="2"/>
        <v>0</v>
      </c>
    </row>
    <row r="53" spans="1:11" ht="18.75" customHeight="1">
      <c r="A53" s="50"/>
      <c r="B53" s="22" t="s">
        <v>75</v>
      </c>
      <c r="C53" s="34" t="s">
        <v>12</v>
      </c>
      <c r="D53" s="24">
        <v>12</v>
      </c>
      <c r="E53" s="24">
        <v>0</v>
      </c>
      <c r="F53" s="15">
        <f t="shared" si="0"/>
        <v>0</v>
      </c>
      <c r="G53" s="24"/>
      <c r="H53" s="15">
        <f t="shared" si="3"/>
        <v>0</v>
      </c>
      <c r="I53" s="24">
        <v>0</v>
      </c>
      <c r="J53" s="15">
        <f t="shared" si="1"/>
        <v>0</v>
      </c>
      <c r="K53" s="15">
        <f t="shared" si="2"/>
        <v>0</v>
      </c>
    </row>
    <row r="54" spans="1:11" ht="21.75" customHeight="1">
      <c r="A54" s="50">
        <v>2</v>
      </c>
      <c r="B54" s="18" t="s">
        <v>255</v>
      </c>
      <c r="C54" s="23" t="s">
        <v>36</v>
      </c>
      <c r="D54" s="23">
        <v>6</v>
      </c>
      <c r="E54" s="24"/>
      <c r="F54" s="15">
        <f t="shared" si="0"/>
        <v>0</v>
      </c>
      <c r="G54" s="24">
        <v>0</v>
      </c>
      <c r="H54" s="15">
        <f t="shared" si="3"/>
        <v>0</v>
      </c>
      <c r="I54" s="24"/>
      <c r="J54" s="15">
        <f t="shared" si="1"/>
        <v>0</v>
      </c>
      <c r="K54" s="15">
        <f t="shared" si="2"/>
        <v>0</v>
      </c>
    </row>
    <row r="55" spans="1:11" ht="15.75" customHeight="1">
      <c r="A55" s="50"/>
      <c r="B55" s="22" t="s">
        <v>89</v>
      </c>
      <c r="C55" s="10" t="s">
        <v>37</v>
      </c>
      <c r="D55" s="24">
        <v>1.5</v>
      </c>
      <c r="E55" s="24">
        <v>0</v>
      </c>
      <c r="F55" s="15">
        <f t="shared" si="0"/>
        <v>0</v>
      </c>
      <c r="G55" s="24"/>
      <c r="H55" s="15">
        <f t="shared" si="3"/>
        <v>0</v>
      </c>
      <c r="I55" s="24">
        <v>0</v>
      </c>
      <c r="J55" s="15">
        <f t="shared" si="1"/>
        <v>0</v>
      </c>
      <c r="K55" s="15">
        <f t="shared" si="2"/>
        <v>0</v>
      </c>
    </row>
    <row r="56" spans="1:11" ht="20.25" customHeight="1">
      <c r="A56" s="50"/>
      <c r="B56" s="22" t="s">
        <v>90</v>
      </c>
      <c r="C56" s="10" t="s">
        <v>10</v>
      </c>
      <c r="D56" s="24">
        <v>18</v>
      </c>
      <c r="E56" s="24">
        <v>0</v>
      </c>
      <c r="F56" s="15">
        <f t="shared" si="0"/>
        <v>0</v>
      </c>
      <c r="G56" s="24"/>
      <c r="H56" s="15">
        <f t="shared" si="3"/>
        <v>0</v>
      </c>
      <c r="I56" s="24">
        <v>0</v>
      </c>
      <c r="J56" s="15">
        <f t="shared" si="1"/>
        <v>0</v>
      </c>
      <c r="K56" s="15">
        <f t="shared" si="2"/>
        <v>0</v>
      </c>
    </row>
    <row r="57" spans="1:11" ht="18.75" customHeight="1">
      <c r="A57" s="50"/>
      <c r="B57" s="22" t="s">
        <v>75</v>
      </c>
      <c r="C57" s="34" t="s">
        <v>12</v>
      </c>
      <c r="D57" s="24">
        <f>D52*0.4</f>
        <v>2.8000000000000003</v>
      </c>
      <c r="E57" s="24">
        <v>0</v>
      </c>
      <c r="F57" s="15">
        <f t="shared" si="0"/>
        <v>0</v>
      </c>
      <c r="G57" s="24"/>
      <c r="H57" s="15">
        <f t="shared" si="3"/>
        <v>0</v>
      </c>
      <c r="I57" s="24"/>
      <c r="J57" s="15">
        <f t="shared" si="1"/>
        <v>0</v>
      </c>
      <c r="K57" s="15">
        <f t="shared" si="2"/>
        <v>0</v>
      </c>
    </row>
    <row r="58" spans="1:11" ht="49.5" customHeight="1">
      <c r="A58" s="50">
        <v>3</v>
      </c>
      <c r="B58" s="18" t="s">
        <v>299</v>
      </c>
      <c r="C58" s="10" t="s">
        <v>37</v>
      </c>
      <c r="D58" s="24">
        <f>8*0.95*0.12+4*0.12</f>
        <v>1.3919999999999999</v>
      </c>
      <c r="E58" s="24"/>
      <c r="F58" s="15">
        <f t="shared" si="0"/>
        <v>0</v>
      </c>
      <c r="G58" s="24">
        <v>0</v>
      </c>
      <c r="H58" s="15">
        <f t="shared" si="3"/>
        <v>0</v>
      </c>
      <c r="I58" s="24"/>
      <c r="J58" s="15">
        <f t="shared" si="1"/>
        <v>0</v>
      </c>
      <c r="K58" s="15">
        <f t="shared" si="2"/>
        <v>0</v>
      </c>
    </row>
    <row r="59" spans="1:11" ht="18.75" customHeight="1">
      <c r="A59" s="50"/>
      <c r="B59" s="22" t="s">
        <v>293</v>
      </c>
      <c r="C59" s="10" t="s">
        <v>37</v>
      </c>
      <c r="D59" s="24">
        <v>1.5</v>
      </c>
      <c r="E59" s="24">
        <v>0</v>
      </c>
      <c r="F59" s="15">
        <f t="shared" si="0"/>
        <v>0</v>
      </c>
      <c r="G59" s="24"/>
      <c r="H59" s="15">
        <f t="shared" si="3"/>
        <v>0</v>
      </c>
      <c r="I59" s="24">
        <v>0</v>
      </c>
      <c r="J59" s="15">
        <f t="shared" si="1"/>
        <v>0</v>
      </c>
      <c r="K59" s="15">
        <f t="shared" si="2"/>
        <v>0</v>
      </c>
    </row>
    <row r="60" spans="1:11" ht="18.75" customHeight="1">
      <c r="A60" s="50"/>
      <c r="B60" s="19" t="s">
        <v>295</v>
      </c>
      <c r="C60" s="34" t="s">
        <v>10</v>
      </c>
      <c r="D60" s="28">
        <v>65</v>
      </c>
      <c r="E60" s="24">
        <v>0</v>
      </c>
      <c r="F60" s="15">
        <f t="shared" si="0"/>
        <v>0</v>
      </c>
      <c r="G60" s="15"/>
      <c r="H60" s="15">
        <f t="shared" si="3"/>
        <v>0</v>
      </c>
      <c r="I60" s="24">
        <v>0</v>
      </c>
      <c r="J60" s="15">
        <f t="shared" si="1"/>
        <v>0</v>
      </c>
      <c r="K60" s="15">
        <f t="shared" si="2"/>
        <v>0</v>
      </c>
    </row>
    <row r="61" spans="1:11" ht="18.75" customHeight="1">
      <c r="A61" s="50"/>
      <c r="B61" s="22" t="s">
        <v>296</v>
      </c>
      <c r="C61" s="34" t="s">
        <v>13</v>
      </c>
      <c r="D61" s="24">
        <f>D58*0.52</f>
        <v>0.72383999999999993</v>
      </c>
      <c r="E61" s="24">
        <v>0</v>
      </c>
      <c r="F61" s="15">
        <f t="shared" si="0"/>
        <v>0</v>
      </c>
      <c r="G61" s="24"/>
      <c r="H61" s="15">
        <f t="shared" si="3"/>
        <v>0</v>
      </c>
      <c r="I61" s="24">
        <v>0</v>
      </c>
      <c r="J61" s="15">
        <f t="shared" si="1"/>
        <v>0</v>
      </c>
      <c r="K61" s="15">
        <f t="shared" si="2"/>
        <v>0</v>
      </c>
    </row>
    <row r="62" spans="1:11" ht="18.75" customHeight="1">
      <c r="A62" s="50"/>
      <c r="B62" s="33" t="s">
        <v>297</v>
      </c>
      <c r="C62" s="10" t="s">
        <v>38</v>
      </c>
      <c r="D62" s="15">
        <f>1.37*D59</f>
        <v>2.0550000000000002</v>
      </c>
      <c r="E62" s="24">
        <v>0</v>
      </c>
      <c r="F62" s="15">
        <f t="shared" si="0"/>
        <v>0</v>
      </c>
      <c r="G62" s="15"/>
      <c r="H62" s="15">
        <f t="shared" si="3"/>
        <v>0</v>
      </c>
      <c r="I62" s="24">
        <v>0</v>
      </c>
      <c r="J62" s="15">
        <f t="shared" si="1"/>
        <v>0</v>
      </c>
      <c r="K62" s="15">
        <f t="shared" si="2"/>
        <v>0</v>
      </c>
    </row>
    <row r="63" spans="1:11" ht="18.75" customHeight="1">
      <c r="A63" s="50"/>
      <c r="B63" s="33" t="s">
        <v>294</v>
      </c>
      <c r="C63" s="10" t="s">
        <v>37</v>
      </c>
      <c r="D63" s="15">
        <f>0.04*D59</f>
        <v>0.06</v>
      </c>
      <c r="E63" s="24">
        <v>0</v>
      </c>
      <c r="F63" s="15">
        <f t="shared" si="0"/>
        <v>0</v>
      </c>
      <c r="G63" s="15"/>
      <c r="H63" s="15">
        <f t="shared" si="3"/>
        <v>0</v>
      </c>
      <c r="I63" s="24">
        <v>0</v>
      </c>
      <c r="J63" s="15">
        <f t="shared" si="1"/>
        <v>0</v>
      </c>
      <c r="K63" s="15">
        <f t="shared" si="2"/>
        <v>0</v>
      </c>
    </row>
    <row r="64" spans="1:11" ht="18.75" customHeight="1">
      <c r="A64" s="50"/>
      <c r="B64" s="33" t="s">
        <v>298</v>
      </c>
      <c r="C64" s="34" t="s">
        <v>13</v>
      </c>
      <c r="D64" s="24">
        <f>D58*3</f>
        <v>4.1760000000000002</v>
      </c>
      <c r="E64" s="24">
        <v>0</v>
      </c>
      <c r="F64" s="15">
        <f t="shared" si="0"/>
        <v>0</v>
      </c>
      <c r="G64" s="24"/>
      <c r="H64" s="15">
        <f t="shared" si="3"/>
        <v>0</v>
      </c>
      <c r="I64" s="24">
        <v>0</v>
      </c>
      <c r="J64" s="15">
        <f t="shared" si="1"/>
        <v>0</v>
      </c>
      <c r="K64" s="15">
        <f t="shared" si="2"/>
        <v>0</v>
      </c>
    </row>
    <row r="65" spans="1:11" ht="18.75" customHeight="1">
      <c r="A65" s="50"/>
      <c r="B65" s="22" t="s">
        <v>75</v>
      </c>
      <c r="C65" s="34" t="s">
        <v>12</v>
      </c>
      <c r="D65" s="24">
        <f>D58*1.5</f>
        <v>2.0880000000000001</v>
      </c>
      <c r="E65" s="24">
        <v>0</v>
      </c>
      <c r="F65" s="15">
        <f t="shared" si="0"/>
        <v>0</v>
      </c>
      <c r="G65" s="24"/>
      <c r="H65" s="15">
        <f t="shared" si="3"/>
        <v>0</v>
      </c>
      <c r="I65" s="24"/>
      <c r="J65" s="15">
        <f t="shared" si="1"/>
        <v>0</v>
      </c>
      <c r="K65" s="15">
        <f t="shared" si="2"/>
        <v>0</v>
      </c>
    </row>
    <row r="66" spans="1:11" ht="45">
      <c r="A66" s="50">
        <v>4</v>
      </c>
      <c r="B66" s="18" t="s">
        <v>199</v>
      </c>
      <c r="C66" s="121" t="s">
        <v>9</v>
      </c>
      <c r="D66" s="23">
        <v>6</v>
      </c>
      <c r="E66" s="23"/>
      <c r="F66" s="15">
        <f t="shared" si="0"/>
        <v>0</v>
      </c>
      <c r="G66" s="23">
        <v>0</v>
      </c>
      <c r="H66" s="15">
        <f t="shared" si="3"/>
        <v>0</v>
      </c>
      <c r="I66" s="23"/>
      <c r="J66" s="15">
        <f t="shared" si="1"/>
        <v>0</v>
      </c>
      <c r="K66" s="15">
        <f t="shared" si="2"/>
        <v>0</v>
      </c>
    </row>
    <row r="67" spans="1:11">
      <c r="A67" s="50"/>
      <c r="B67" s="22" t="s">
        <v>341</v>
      </c>
      <c r="C67" s="121" t="s">
        <v>10</v>
      </c>
      <c r="D67" s="23">
        <f>6*6</f>
        <v>36</v>
      </c>
      <c r="E67" s="35">
        <v>0</v>
      </c>
      <c r="F67" s="15">
        <f t="shared" si="0"/>
        <v>0</v>
      </c>
      <c r="G67" s="23"/>
      <c r="H67" s="15">
        <f t="shared" si="3"/>
        <v>0</v>
      </c>
      <c r="I67" s="23">
        <v>0</v>
      </c>
      <c r="J67" s="15">
        <f t="shared" si="1"/>
        <v>0</v>
      </c>
      <c r="K67" s="15">
        <f t="shared" si="2"/>
        <v>0</v>
      </c>
    </row>
    <row r="68" spans="1:11">
      <c r="A68" s="50"/>
      <c r="B68" s="22" t="s">
        <v>342</v>
      </c>
      <c r="C68" s="121" t="s">
        <v>10</v>
      </c>
      <c r="D68" s="23">
        <v>36</v>
      </c>
      <c r="E68" s="35">
        <v>0</v>
      </c>
      <c r="F68" s="15">
        <f t="shared" si="0"/>
        <v>0</v>
      </c>
      <c r="G68" s="23"/>
      <c r="H68" s="15">
        <f t="shared" si="3"/>
        <v>0</v>
      </c>
      <c r="I68" s="23">
        <v>0</v>
      </c>
      <c r="J68" s="15">
        <f t="shared" si="1"/>
        <v>0</v>
      </c>
      <c r="K68" s="15">
        <f t="shared" si="2"/>
        <v>0</v>
      </c>
    </row>
    <row r="69" spans="1:11">
      <c r="A69" s="50"/>
      <c r="B69" s="22" t="s">
        <v>346</v>
      </c>
      <c r="C69" s="121" t="s">
        <v>10</v>
      </c>
      <c r="D69" s="23">
        <v>16</v>
      </c>
      <c r="E69" s="35">
        <v>0</v>
      </c>
      <c r="F69" s="15">
        <f t="shared" si="0"/>
        <v>0</v>
      </c>
      <c r="G69" s="23"/>
      <c r="H69" s="15">
        <f t="shared" si="3"/>
        <v>0</v>
      </c>
      <c r="I69" s="23">
        <v>0</v>
      </c>
      <c r="J69" s="15">
        <f t="shared" si="1"/>
        <v>0</v>
      </c>
      <c r="K69" s="15">
        <f t="shared" si="2"/>
        <v>0</v>
      </c>
    </row>
    <row r="70" spans="1:11">
      <c r="A70" s="50"/>
      <c r="B70" s="22" t="s">
        <v>343</v>
      </c>
      <c r="C70" s="121" t="s">
        <v>9</v>
      </c>
      <c r="D70" s="23">
        <v>42</v>
      </c>
      <c r="E70" s="35">
        <v>0</v>
      </c>
      <c r="F70" s="15">
        <f t="shared" si="0"/>
        <v>0</v>
      </c>
      <c r="G70" s="23"/>
      <c r="H70" s="15">
        <f t="shared" si="3"/>
        <v>0</v>
      </c>
      <c r="I70" s="23">
        <v>0</v>
      </c>
      <c r="J70" s="15">
        <f t="shared" si="1"/>
        <v>0</v>
      </c>
      <c r="K70" s="15">
        <f t="shared" si="2"/>
        <v>0</v>
      </c>
    </row>
    <row r="71" spans="1:11">
      <c r="A71" s="50"/>
      <c r="B71" s="22" t="s">
        <v>88</v>
      </c>
      <c r="C71" s="121" t="s">
        <v>13</v>
      </c>
      <c r="D71" s="23">
        <v>7</v>
      </c>
      <c r="E71" s="35">
        <v>0</v>
      </c>
      <c r="F71" s="15">
        <f t="shared" si="0"/>
        <v>0</v>
      </c>
      <c r="G71" s="23"/>
      <c r="H71" s="15">
        <f t="shared" si="3"/>
        <v>0</v>
      </c>
      <c r="I71" s="23">
        <v>0</v>
      </c>
      <c r="J71" s="15">
        <f t="shared" si="1"/>
        <v>0</v>
      </c>
      <c r="K71" s="15">
        <f t="shared" si="2"/>
        <v>0</v>
      </c>
    </row>
    <row r="72" spans="1:11">
      <c r="A72" s="50"/>
      <c r="B72" s="22" t="s">
        <v>11</v>
      </c>
      <c r="C72" s="121" t="s">
        <v>12</v>
      </c>
      <c r="D72" s="23">
        <v>4</v>
      </c>
      <c r="E72" s="35">
        <v>0</v>
      </c>
      <c r="F72" s="15">
        <f t="shared" si="0"/>
        <v>0</v>
      </c>
      <c r="G72" s="23"/>
      <c r="H72" s="15">
        <f t="shared" si="3"/>
        <v>0</v>
      </c>
      <c r="I72" s="23"/>
      <c r="J72" s="15">
        <f t="shared" si="1"/>
        <v>0</v>
      </c>
      <c r="K72" s="15">
        <f t="shared" si="2"/>
        <v>0</v>
      </c>
    </row>
    <row r="73" spans="1:11" ht="30.75" customHeight="1">
      <c r="A73" s="50">
        <v>5</v>
      </c>
      <c r="B73" s="18" t="s">
        <v>348</v>
      </c>
      <c r="C73" s="23" t="s">
        <v>8</v>
      </c>
      <c r="D73" s="23">
        <v>42</v>
      </c>
      <c r="E73" s="23"/>
      <c r="F73" s="15">
        <f t="shared" si="0"/>
        <v>0</v>
      </c>
      <c r="G73" s="23">
        <v>0</v>
      </c>
      <c r="H73" s="15">
        <f t="shared" si="3"/>
        <v>0</v>
      </c>
      <c r="I73" s="23"/>
      <c r="J73" s="15">
        <f t="shared" si="1"/>
        <v>0</v>
      </c>
      <c r="K73" s="15">
        <f t="shared" si="2"/>
        <v>0</v>
      </c>
    </row>
    <row r="74" spans="1:11" ht="30">
      <c r="A74" s="50"/>
      <c r="B74" s="22" t="s">
        <v>345</v>
      </c>
      <c r="C74" s="34" t="s">
        <v>10</v>
      </c>
      <c r="D74" s="24">
        <f>6*24</f>
        <v>144</v>
      </c>
      <c r="E74" s="24">
        <v>0</v>
      </c>
      <c r="F74" s="15">
        <f t="shared" ref="F74:F138" si="5">E74*D74</f>
        <v>0</v>
      </c>
      <c r="G74" s="24"/>
      <c r="H74" s="15">
        <f t="shared" si="3"/>
        <v>0</v>
      </c>
      <c r="I74" s="24">
        <v>0</v>
      </c>
      <c r="J74" s="15">
        <f t="shared" ref="J74:J138" si="6">I74*D74</f>
        <v>0</v>
      </c>
      <c r="K74" s="15">
        <f t="shared" ref="K74:K138" si="7">J74+H74+F74</f>
        <v>0</v>
      </c>
    </row>
    <row r="75" spans="1:11">
      <c r="A75" s="50"/>
      <c r="B75" s="22" t="s">
        <v>344</v>
      </c>
      <c r="C75" s="34" t="s">
        <v>10</v>
      </c>
      <c r="D75" s="24">
        <f>13*12</f>
        <v>156</v>
      </c>
      <c r="E75" s="24">
        <v>0</v>
      </c>
      <c r="F75" s="15">
        <f t="shared" si="5"/>
        <v>0</v>
      </c>
      <c r="G75" s="24"/>
      <c r="H75" s="15">
        <f t="shared" ref="H75:H139" si="8">G75*D75</f>
        <v>0</v>
      </c>
      <c r="I75" s="24">
        <v>0</v>
      </c>
      <c r="J75" s="15">
        <f t="shared" si="6"/>
        <v>0</v>
      </c>
      <c r="K75" s="15">
        <f t="shared" si="7"/>
        <v>0</v>
      </c>
    </row>
    <row r="76" spans="1:11">
      <c r="A76" s="50"/>
      <c r="B76" s="22" t="s">
        <v>351</v>
      </c>
      <c r="C76" s="34" t="s">
        <v>10</v>
      </c>
      <c r="D76" s="24">
        <v>42</v>
      </c>
      <c r="E76" s="24">
        <v>0</v>
      </c>
      <c r="F76" s="15">
        <f t="shared" si="5"/>
        <v>0</v>
      </c>
      <c r="G76" s="24"/>
      <c r="H76" s="15">
        <f t="shared" si="8"/>
        <v>0</v>
      </c>
      <c r="I76" s="24">
        <v>0</v>
      </c>
      <c r="J76" s="15">
        <f t="shared" si="6"/>
        <v>0</v>
      </c>
      <c r="K76" s="15">
        <f t="shared" si="7"/>
        <v>0</v>
      </c>
    </row>
    <row r="77" spans="1:11">
      <c r="A77" s="50"/>
      <c r="B77" s="22" t="s">
        <v>347</v>
      </c>
      <c r="C77" s="34" t="s">
        <v>10</v>
      </c>
      <c r="D77" s="24">
        <f>136</f>
        <v>136</v>
      </c>
      <c r="E77" s="24">
        <v>0</v>
      </c>
      <c r="F77" s="15">
        <f t="shared" si="5"/>
        <v>0</v>
      </c>
      <c r="G77" s="24"/>
      <c r="H77" s="15">
        <f t="shared" si="8"/>
        <v>0</v>
      </c>
      <c r="I77" s="24">
        <v>0</v>
      </c>
      <c r="J77" s="15">
        <f t="shared" si="6"/>
        <v>0</v>
      </c>
      <c r="K77" s="15">
        <f t="shared" si="7"/>
        <v>0</v>
      </c>
    </row>
    <row r="78" spans="1:11">
      <c r="A78" s="50"/>
      <c r="B78" s="22" t="s">
        <v>349</v>
      </c>
      <c r="C78" s="121" t="s">
        <v>10</v>
      </c>
      <c r="D78" s="23">
        <v>24</v>
      </c>
      <c r="E78" s="24">
        <v>0</v>
      </c>
      <c r="F78" s="15">
        <f t="shared" si="5"/>
        <v>0</v>
      </c>
      <c r="G78" s="23"/>
      <c r="H78" s="15">
        <f t="shared" si="8"/>
        <v>0</v>
      </c>
      <c r="I78" s="24">
        <v>0</v>
      </c>
      <c r="J78" s="15">
        <f t="shared" si="6"/>
        <v>0</v>
      </c>
      <c r="K78" s="15">
        <f t="shared" si="7"/>
        <v>0</v>
      </c>
    </row>
    <row r="79" spans="1:11" ht="33.75" customHeight="1">
      <c r="A79" s="50"/>
      <c r="B79" s="22" t="s">
        <v>350</v>
      </c>
      <c r="C79" s="121" t="s">
        <v>13</v>
      </c>
      <c r="D79" s="23">
        <v>30</v>
      </c>
      <c r="E79" s="24">
        <v>0</v>
      </c>
      <c r="F79" s="15">
        <f t="shared" si="5"/>
        <v>0</v>
      </c>
      <c r="G79" s="23"/>
      <c r="H79" s="15">
        <f t="shared" si="8"/>
        <v>0</v>
      </c>
      <c r="I79" s="24">
        <v>0</v>
      </c>
      <c r="J79" s="15">
        <f t="shared" si="6"/>
        <v>0</v>
      </c>
      <c r="K79" s="15">
        <f t="shared" si="7"/>
        <v>0</v>
      </c>
    </row>
    <row r="80" spans="1:11">
      <c r="A80" s="50"/>
      <c r="B80" s="22" t="s">
        <v>88</v>
      </c>
      <c r="C80" s="121" t="s">
        <v>13</v>
      </c>
      <c r="D80" s="23">
        <v>7</v>
      </c>
      <c r="E80" s="24">
        <v>0</v>
      </c>
      <c r="F80" s="15">
        <f t="shared" si="5"/>
        <v>0</v>
      </c>
      <c r="G80" s="23"/>
      <c r="H80" s="15">
        <f t="shared" si="8"/>
        <v>0</v>
      </c>
      <c r="I80" s="24">
        <v>0</v>
      </c>
      <c r="J80" s="15">
        <f t="shared" si="6"/>
        <v>0</v>
      </c>
      <c r="K80" s="15">
        <f t="shared" si="7"/>
        <v>0</v>
      </c>
    </row>
    <row r="81" spans="1:12">
      <c r="A81" s="50"/>
      <c r="B81" s="22" t="s">
        <v>227</v>
      </c>
      <c r="C81" s="34" t="s">
        <v>36</v>
      </c>
      <c r="D81" s="24">
        <v>25</v>
      </c>
      <c r="E81" s="24">
        <v>0</v>
      </c>
      <c r="F81" s="15">
        <f t="shared" si="5"/>
        <v>0</v>
      </c>
      <c r="G81" s="24"/>
      <c r="H81" s="15">
        <f t="shared" si="8"/>
        <v>0</v>
      </c>
      <c r="I81" s="24">
        <v>0</v>
      </c>
      <c r="J81" s="15">
        <f t="shared" si="6"/>
        <v>0</v>
      </c>
      <c r="K81" s="15">
        <f t="shared" si="7"/>
        <v>0</v>
      </c>
    </row>
    <row r="82" spans="1:12">
      <c r="A82" s="50"/>
      <c r="B82" s="19" t="s">
        <v>75</v>
      </c>
      <c r="C82" s="10" t="s">
        <v>12</v>
      </c>
      <c r="D82" s="23">
        <v>14</v>
      </c>
      <c r="E82" s="24">
        <v>0</v>
      </c>
      <c r="F82" s="15">
        <f t="shared" si="5"/>
        <v>0</v>
      </c>
      <c r="G82" s="23"/>
      <c r="H82" s="15">
        <f t="shared" si="8"/>
        <v>0</v>
      </c>
      <c r="I82" s="23"/>
      <c r="J82" s="15">
        <f t="shared" si="6"/>
        <v>0</v>
      </c>
      <c r="K82" s="15">
        <f t="shared" si="7"/>
        <v>0</v>
      </c>
    </row>
    <row r="83" spans="1:12">
      <c r="A83" s="50"/>
      <c r="B83" s="116" t="s">
        <v>66</v>
      </c>
      <c r="C83" s="10"/>
      <c r="D83" s="23"/>
      <c r="E83" s="23"/>
      <c r="F83" s="15">
        <f t="shared" si="5"/>
        <v>0</v>
      </c>
      <c r="G83" s="23"/>
      <c r="H83" s="15">
        <f t="shared" si="8"/>
        <v>0</v>
      </c>
      <c r="I83" s="23"/>
      <c r="J83" s="15">
        <f t="shared" si="6"/>
        <v>0</v>
      </c>
      <c r="K83" s="15">
        <f t="shared" si="7"/>
        <v>0</v>
      </c>
    </row>
    <row r="84" spans="1:12">
      <c r="A84" s="16">
        <v>1</v>
      </c>
      <c r="B84" s="18" t="s">
        <v>69</v>
      </c>
      <c r="C84" s="34" t="s">
        <v>8</v>
      </c>
      <c r="D84" s="36">
        <v>520</v>
      </c>
      <c r="E84" s="36"/>
      <c r="F84" s="15">
        <f t="shared" si="5"/>
        <v>0</v>
      </c>
      <c r="G84" s="36">
        <v>0</v>
      </c>
      <c r="H84" s="15">
        <f t="shared" si="8"/>
        <v>0</v>
      </c>
      <c r="I84" s="36"/>
      <c r="J84" s="15">
        <f t="shared" si="6"/>
        <v>0</v>
      </c>
      <c r="K84" s="15">
        <f t="shared" si="7"/>
        <v>0</v>
      </c>
    </row>
    <row r="85" spans="1:12">
      <c r="A85" s="16"/>
      <c r="B85" s="22" t="s">
        <v>47</v>
      </c>
      <c r="C85" s="45" t="s">
        <v>32</v>
      </c>
      <c r="D85" s="36">
        <f>D84*0.05</f>
        <v>26</v>
      </c>
      <c r="E85" s="36">
        <v>0</v>
      </c>
      <c r="F85" s="15">
        <f t="shared" si="5"/>
        <v>0</v>
      </c>
      <c r="G85" s="36"/>
      <c r="H85" s="15">
        <f t="shared" si="8"/>
        <v>0</v>
      </c>
      <c r="I85" s="36">
        <v>0</v>
      </c>
      <c r="J85" s="15">
        <f t="shared" si="6"/>
        <v>0</v>
      </c>
      <c r="K85" s="15">
        <f t="shared" si="7"/>
        <v>0</v>
      </c>
    </row>
    <row r="86" spans="1:12">
      <c r="A86" s="16"/>
      <c r="B86" s="22" t="s">
        <v>45</v>
      </c>
      <c r="C86" s="45" t="s">
        <v>13</v>
      </c>
      <c r="D86" s="36">
        <f>D84*0.35</f>
        <v>182</v>
      </c>
      <c r="E86" s="36">
        <v>0</v>
      </c>
      <c r="F86" s="15">
        <f t="shared" si="5"/>
        <v>0</v>
      </c>
      <c r="G86" s="36"/>
      <c r="H86" s="15">
        <f t="shared" si="8"/>
        <v>0</v>
      </c>
      <c r="I86" s="36">
        <v>0</v>
      </c>
      <c r="J86" s="15">
        <f t="shared" si="6"/>
        <v>0</v>
      </c>
      <c r="K86" s="15">
        <f t="shared" si="7"/>
        <v>0</v>
      </c>
    </row>
    <row r="87" spans="1:12" ht="15.75">
      <c r="A87" s="16"/>
      <c r="B87" s="22" t="s">
        <v>46</v>
      </c>
      <c r="C87" s="41" t="s">
        <v>36</v>
      </c>
      <c r="D87" s="115">
        <f>D84*1</f>
        <v>520</v>
      </c>
      <c r="E87" s="36">
        <v>0</v>
      </c>
      <c r="F87" s="15">
        <f t="shared" si="5"/>
        <v>0</v>
      </c>
      <c r="G87" s="40"/>
      <c r="H87" s="15">
        <f t="shared" si="8"/>
        <v>0</v>
      </c>
      <c r="I87" s="36">
        <v>0</v>
      </c>
      <c r="J87" s="15">
        <f t="shared" si="6"/>
        <v>0</v>
      </c>
      <c r="K87" s="15">
        <f t="shared" si="7"/>
        <v>0</v>
      </c>
    </row>
    <row r="88" spans="1:12" ht="18" customHeight="1">
      <c r="A88" s="16"/>
      <c r="B88" s="22" t="s">
        <v>11</v>
      </c>
      <c r="C88" s="45" t="s">
        <v>12</v>
      </c>
      <c r="D88" s="40">
        <f>D84*0.02</f>
        <v>10.4</v>
      </c>
      <c r="E88" s="36">
        <v>0</v>
      </c>
      <c r="F88" s="15">
        <f t="shared" si="5"/>
        <v>0</v>
      </c>
      <c r="G88" s="40"/>
      <c r="H88" s="15">
        <f t="shared" si="8"/>
        <v>0</v>
      </c>
      <c r="I88" s="36">
        <v>0</v>
      </c>
      <c r="J88" s="15">
        <f t="shared" si="6"/>
        <v>0</v>
      </c>
      <c r="K88" s="15">
        <f t="shared" si="7"/>
        <v>0</v>
      </c>
    </row>
    <row r="89" spans="1:12" ht="18" customHeight="1">
      <c r="A89" s="48">
        <v>2</v>
      </c>
      <c r="B89" s="18" t="s">
        <v>43</v>
      </c>
      <c r="C89" s="23" t="s">
        <v>8</v>
      </c>
      <c r="D89" s="24">
        <f>D92</f>
        <v>177.00000000000003</v>
      </c>
      <c r="E89" s="24"/>
      <c r="F89" s="15">
        <f t="shared" si="5"/>
        <v>0</v>
      </c>
      <c r="G89" s="24">
        <v>0</v>
      </c>
      <c r="H89" s="15">
        <f t="shared" si="8"/>
        <v>0</v>
      </c>
      <c r="I89" s="24"/>
      <c r="J89" s="15">
        <f t="shared" si="6"/>
        <v>0</v>
      </c>
      <c r="K89" s="15">
        <f t="shared" si="7"/>
        <v>0</v>
      </c>
    </row>
    <row r="90" spans="1:12" ht="18" customHeight="1">
      <c r="A90" s="48"/>
      <c r="B90" s="25" t="s">
        <v>34</v>
      </c>
      <c r="C90" s="23" t="s">
        <v>13</v>
      </c>
      <c r="D90" s="24">
        <f>D89*5</f>
        <v>885.00000000000011</v>
      </c>
      <c r="E90" s="24">
        <v>0</v>
      </c>
      <c r="F90" s="15">
        <f t="shared" si="5"/>
        <v>0</v>
      </c>
      <c r="G90" s="24"/>
      <c r="H90" s="15">
        <f t="shared" si="8"/>
        <v>0</v>
      </c>
      <c r="I90" s="24">
        <v>0</v>
      </c>
      <c r="J90" s="15">
        <f t="shared" si="6"/>
        <v>0</v>
      </c>
      <c r="K90" s="15">
        <f t="shared" si="7"/>
        <v>0</v>
      </c>
    </row>
    <row r="91" spans="1:12" ht="18" customHeight="1">
      <c r="A91" s="48"/>
      <c r="B91" s="26" t="s">
        <v>11</v>
      </c>
      <c r="C91" s="23" t="s">
        <v>12</v>
      </c>
      <c r="D91" s="24">
        <f>D89*0.08</f>
        <v>14.160000000000002</v>
      </c>
      <c r="E91" s="24">
        <v>0</v>
      </c>
      <c r="F91" s="15">
        <f t="shared" si="5"/>
        <v>0</v>
      </c>
      <c r="G91" s="24"/>
      <c r="H91" s="15">
        <f t="shared" si="8"/>
        <v>0</v>
      </c>
      <c r="I91" s="24"/>
      <c r="J91" s="15">
        <f t="shared" si="6"/>
        <v>0</v>
      </c>
      <c r="K91" s="15">
        <f t="shared" si="7"/>
        <v>0</v>
      </c>
    </row>
    <row r="92" spans="1:12" ht="18" customHeight="1">
      <c r="A92" s="48">
        <v>3</v>
      </c>
      <c r="B92" s="17" t="s">
        <v>76</v>
      </c>
      <c r="C92" s="23" t="s">
        <v>8</v>
      </c>
      <c r="D92" s="24">
        <f>(D95+D94)/1.18</f>
        <v>177.00000000000003</v>
      </c>
      <c r="E92" s="24"/>
      <c r="F92" s="15">
        <f t="shared" si="5"/>
        <v>0</v>
      </c>
      <c r="G92" s="24">
        <v>0</v>
      </c>
      <c r="H92" s="15">
        <f t="shared" si="8"/>
        <v>0</v>
      </c>
      <c r="I92" s="24"/>
      <c r="J92" s="15">
        <f t="shared" si="6"/>
        <v>0</v>
      </c>
      <c r="K92" s="15">
        <f t="shared" si="7"/>
        <v>0</v>
      </c>
      <c r="L92" s="122"/>
    </row>
    <row r="93" spans="1:12" ht="18" customHeight="1">
      <c r="A93" s="48">
        <v>4</v>
      </c>
      <c r="B93" s="17" t="s">
        <v>77</v>
      </c>
      <c r="C93" s="23" t="s">
        <v>10</v>
      </c>
      <c r="D93" s="24">
        <f>22+79+17+13+19</f>
        <v>150</v>
      </c>
      <c r="E93" s="24"/>
      <c r="F93" s="15">
        <f t="shared" si="5"/>
        <v>0</v>
      </c>
      <c r="G93" s="24">
        <v>0</v>
      </c>
      <c r="H93" s="15">
        <f t="shared" si="8"/>
        <v>0</v>
      </c>
      <c r="I93" s="24"/>
      <c r="J93" s="15">
        <f t="shared" si="6"/>
        <v>0</v>
      </c>
      <c r="K93" s="15">
        <f t="shared" si="7"/>
        <v>0</v>
      </c>
    </row>
    <row r="94" spans="1:12" ht="18" customHeight="1">
      <c r="A94" s="48"/>
      <c r="B94" s="19" t="s">
        <v>161</v>
      </c>
      <c r="C94" s="23" t="s">
        <v>8</v>
      </c>
      <c r="D94" s="24">
        <f>16*1.18+17*1.18+11*1.18+11*1.18+11*1.18+13*1.18+18*1.18</f>
        <v>114.46</v>
      </c>
      <c r="E94" s="24">
        <v>0</v>
      </c>
      <c r="F94" s="15">
        <f t="shared" si="5"/>
        <v>0</v>
      </c>
      <c r="G94" s="24"/>
      <c r="H94" s="15">
        <f t="shared" si="8"/>
        <v>0</v>
      </c>
      <c r="I94" s="24">
        <v>0</v>
      </c>
      <c r="J94" s="15">
        <f t="shared" si="6"/>
        <v>0</v>
      </c>
      <c r="K94" s="15">
        <f t="shared" si="7"/>
        <v>0</v>
      </c>
    </row>
    <row r="95" spans="1:12" ht="18" customHeight="1">
      <c r="A95" s="48"/>
      <c r="B95" s="19" t="s">
        <v>78</v>
      </c>
      <c r="C95" s="23" t="s">
        <v>8</v>
      </c>
      <c r="D95" s="24">
        <f>25*1.18+38*1.18+17*1.18</f>
        <v>94.4</v>
      </c>
      <c r="E95" s="24">
        <v>0</v>
      </c>
      <c r="F95" s="15">
        <f t="shared" si="5"/>
        <v>0</v>
      </c>
      <c r="G95" s="24"/>
      <c r="H95" s="15">
        <f t="shared" si="8"/>
        <v>0</v>
      </c>
      <c r="I95" s="24">
        <v>0</v>
      </c>
      <c r="J95" s="15">
        <f t="shared" si="6"/>
        <v>0</v>
      </c>
      <c r="K95" s="15">
        <f t="shared" si="7"/>
        <v>0</v>
      </c>
    </row>
    <row r="96" spans="1:12" ht="18" customHeight="1">
      <c r="A96" s="48"/>
      <c r="B96" s="27" t="s">
        <v>79</v>
      </c>
      <c r="C96" s="23" t="s">
        <v>10</v>
      </c>
      <c r="D96" s="24">
        <f>D92*2</f>
        <v>354.00000000000006</v>
      </c>
      <c r="E96" s="24">
        <v>0</v>
      </c>
      <c r="F96" s="15">
        <f t="shared" si="5"/>
        <v>0</v>
      </c>
      <c r="G96" s="28"/>
      <c r="H96" s="15">
        <f t="shared" si="8"/>
        <v>0</v>
      </c>
      <c r="I96" s="24">
        <v>0</v>
      </c>
      <c r="J96" s="15">
        <f t="shared" si="6"/>
        <v>0</v>
      </c>
      <c r="K96" s="15">
        <f t="shared" si="7"/>
        <v>0</v>
      </c>
    </row>
    <row r="97" spans="1:11" ht="18" customHeight="1">
      <c r="A97" s="48"/>
      <c r="B97" s="19" t="s">
        <v>53</v>
      </c>
      <c r="C97" s="23" t="s">
        <v>13</v>
      </c>
      <c r="D97" s="24">
        <f>D95*0.18</f>
        <v>16.992000000000001</v>
      </c>
      <c r="E97" s="24">
        <v>0</v>
      </c>
      <c r="F97" s="15">
        <f t="shared" si="5"/>
        <v>0</v>
      </c>
      <c r="G97" s="24"/>
      <c r="H97" s="15">
        <f t="shared" si="8"/>
        <v>0</v>
      </c>
      <c r="I97" s="24">
        <v>0</v>
      </c>
      <c r="J97" s="15">
        <f t="shared" si="6"/>
        <v>0</v>
      </c>
      <c r="K97" s="15">
        <f t="shared" si="7"/>
        <v>0</v>
      </c>
    </row>
    <row r="98" spans="1:11" ht="18" customHeight="1">
      <c r="A98" s="48"/>
      <c r="B98" s="19" t="s">
        <v>80</v>
      </c>
      <c r="C98" s="23" t="s">
        <v>13</v>
      </c>
      <c r="D98" s="24">
        <f>D92*0.4</f>
        <v>70.800000000000011</v>
      </c>
      <c r="E98" s="24">
        <v>0</v>
      </c>
      <c r="F98" s="15">
        <f t="shared" si="5"/>
        <v>0</v>
      </c>
      <c r="G98" s="24"/>
      <c r="H98" s="15">
        <f t="shared" si="8"/>
        <v>0</v>
      </c>
      <c r="I98" s="24">
        <v>0</v>
      </c>
      <c r="J98" s="15">
        <f t="shared" si="6"/>
        <v>0</v>
      </c>
      <c r="K98" s="15">
        <f t="shared" si="7"/>
        <v>0</v>
      </c>
    </row>
    <row r="99" spans="1:11" ht="18" customHeight="1">
      <c r="A99" s="48"/>
      <c r="B99" s="19" t="s">
        <v>81</v>
      </c>
      <c r="C99" s="23" t="s">
        <v>13</v>
      </c>
      <c r="D99" s="24">
        <f>D93*0.1</f>
        <v>15</v>
      </c>
      <c r="E99" s="24">
        <v>0</v>
      </c>
      <c r="F99" s="15">
        <f t="shared" si="5"/>
        <v>0</v>
      </c>
      <c r="G99" s="24"/>
      <c r="H99" s="15">
        <f t="shared" si="8"/>
        <v>0</v>
      </c>
      <c r="I99" s="24">
        <v>0</v>
      </c>
      <c r="J99" s="15">
        <f t="shared" si="6"/>
        <v>0</v>
      </c>
      <c r="K99" s="15">
        <f t="shared" si="7"/>
        <v>0</v>
      </c>
    </row>
    <row r="100" spans="1:11" ht="18" customHeight="1">
      <c r="A100" s="48"/>
      <c r="B100" s="19" t="s">
        <v>82</v>
      </c>
      <c r="C100" s="23" t="s">
        <v>13</v>
      </c>
      <c r="D100" s="24">
        <f>D95*0.35</f>
        <v>33.04</v>
      </c>
      <c r="E100" s="24">
        <v>0</v>
      </c>
      <c r="F100" s="15">
        <f t="shared" si="5"/>
        <v>0</v>
      </c>
      <c r="G100" s="24"/>
      <c r="H100" s="15">
        <f t="shared" si="8"/>
        <v>0</v>
      </c>
      <c r="I100" s="24">
        <v>0</v>
      </c>
      <c r="J100" s="15">
        <f t="shared" si="6"/>
        <v>0</v>
      </c>
      <c r="K100" s="15">
        <f t="shared" si="7"/>
        <v>0</v>
      </c>
    </row>
    <row r="101" spans="1:11" ht="18" customHeight="1">
      <c r="A101" s="48"/>
      <c r="B101" s="26" t="s">
        <v>11</v>
      </c>
      <c r="C101" s="23" t="s">
        <v>12</v>
      </c>
      <c r="D101" s="24">
        <f>D95*0.08</f>
        <v>7.5520000000000005</v>
      </c>
      <c r="E101" s="24">
        <v>0</v>
      </c>
      <c r="F101" s="15">
        <f t="shared" si="5"/>
        <v>0</v>
      </c>
      <c r="G101" s="24"/>
      <c r="H101" s="15">
        <f t="shared" si="8"/>
        <v>0</v>
      </c>
      <c r="I101" s="24"/>
      <c r="J101" s="15">
        <f t="shared" si="6"/>
        <v>0</v>
      </c>
      <c r="K101" s="15">
        <f t="shared" si="7"/>
        <v>0</v>
      </c>
    </row>
    <row r="102" spans="1:11" ht="18" customHeight="1">
      <c r="A102" s="48">
        <v>5</v>
      </c>
      <c r="B102" s="17" t="s">
        <v>197</v>
      </c>
      <c r="C102" s="23" t="s">
        <v>8</v>
      </c>
      <c r="D102" s="24">
        <f>131+87+173+187+183</f>
        <v>761</v>
      </c>
      <c r="E102" s="24"/>
      <c r="F102" s="15">
        <f t="shared" si="5"/>
        <v>0</v>
      </c>
      <c r="G102" s="24">
        <v>0</v>
      </c>
      <c r="H102" s="15">
        <f t="shared" si="8"/>
        <v>0</v>
      </c>
      <c r="I102" s="24"/>
      <c r="J102" s="15">
        <f t="shared" si="6"/>
        <v>0</v>
      </c>
      <c r="K102" s="15">
        <f t="shared" si="7"/>
        <v>0</v>
      </c>
    </row>
    <row r="103" spans="1:11" ht="18" customHeight="1">
      <c r="A103" s="48"/>
      <c r="B103" s="19" t="s">
        <v>146</v>
      </c>
      <c r="C103" s="23" t="s">
        <v>8</v>
      </c>
      <c r="D103" s="24">
        <f>D102*1.05</f>
        <v>799.05000000000007</v>
      </c>
      <c r="E103" s="24">
        <v>0</v>
      </c>
      <c r="F103" s="15">
        <f t="shared" si="5"/>
        <v>0</v>
      </c>
      <c r="G103" s="24"/>
      <c r="H103" s="15">
        <f t="shared" si="8"/>
        <v>0</v>
      </c>
      <c r="I103" s="24">
        <v>0</v>
      </c>
      <c r="J103" s="15">
        <f t="shared" si="6"/>
        <v>0</v>
      </c>
      <c r="K103" s="15">
        <f t="shared" si="7"/>
        <v>0</v>
      </c>
    </row>
    <row r="104" spans="1:11" ht="18.75" customHeight="1">
      <c r="A104" s="48"/>
      <c r="B104" s="22" t="s">
        <v>147</v>
      </c>
      <c r="C104" s="23" t="s">
        <v>8</v>
      </c>
      <c r="D104" s="24">
        <f>D102</f>
        <v>761</v>
      </c>
      <c r="E104" s="24">
        <v>0</v>
      </c>
      <c r="F104" s="15">
        <f t="shared" si="5"/>
        <v>0</v>
      </c>
      <c r="G104" s="24"/>
      <c r="H104" s="15">
        <f t="shared" si="8"/>
        <v>0</v>
      </c>
      <c r="I104" s="24">
        <v>0</v>
      </c>
      <c r="J104" s="15">
        <f t="shared" si="6"/>
        <v>0</v>
      </c>
      <c r="K104" s="15">
        <f t="shared" si="7"/>
        <v>0</v>
      </c>
    </row>
    <row r="105" spans="1:11" ht="18" customHeight="1">
      <c r="A105" s="48"/>
      <c r="B105" s="27" t="s">
        <v>84</v>
      </c>
      <c r="C105" s="23" t="s">
        <v>10</v>
      </c>
      <c r="D105" s="24">
        <f>176+78+195+198+210</f>
        <v>857</v>
      </c>
      <c r="E105" s="24">
        <v>0</v>
      </c>
      <c r="F105" s="15">
        <f t="shared" si="5"/>
        <v>0</v>
      </c>
      <c r="G105" s="28"/>
      <c r="H105" s="15">
        <f t="shared" si="8"/>
        <v>0</v>
      </c>
      <c r="I105" s="24">
        <v>0</v>
      </c>
      <c r="J105" s="15">
        <f t="shared" si="6"/>
        <v>0</v>
      </c>
      <c r="K105" s="15">
        <f t="shared" si="7"/>
        <v>0</v>
      </c>
    </row>
    <row r="106" spans="1:11" ht="18" customHeight="1">
      <c r="A106" s="48"/>
      <c r="B106" s="27" t="s">
        <v>388</v>
      </c>
      <c r="C106" s="23" t="s">
        <v>13</v>
      </c>
      <c r="D106" s="24">
        <f>176+78+195+198+210</f>
        <v>857</v>
      </c>
      <c r="E106" s="24">
        <v>0</v>
      </c>
      <c r="F106" s="15">
        <f t="shared" ref="F106" si="9">E106*D106</f>
        <v>0</v>
      </c>
      <c r="G106" s="28"/>
      <c r="H106" s="15">
        <f t="shared" ref="H106" si="10">G106*D106</f>
        <v>0</v>
      </c>
      <c r="I106" s="24">
        <v>0</v>
      </c>
      <c r="J106" s="15">
        <f t="shared" ref="J106" si="11">I106*D106</f>
        <v>0</v>
      </c>
      <c r="K106" s="15">
        <f t="shared" ref="K106" si="12">J106+H106+F106</f>
        <v>0</v>
      </c>
    </row>
    <row r="107" spans="1:11" ht="18" customHeight="1">
      <c r="A107" s="48"/>
      <c r="B107" s="26" t="s">
        <v>75</v>
      </c>
      <c r="C107" s="23" t="s">
        <v>12</v>
      </c>
      <c r="D107" s="24">
        <f>D102*0.05</f>
        <v>38.050000000000004</v>
      </c>
      <c r="E107" s="24">
        <v>0</v>
      </c>
      <c r="F107" s="15">
        <f t="shared" si="5"/>
        <v>0</v>
      </c>
      <c r="G107" s="24"/>
      <c r="H107" s="15">
        <f t="shared" si="8"/>
        <v>0</v>
      </c>
      <c r="I107" s="24"/>
      <c r="J107" s="15">
        <f t="shared" si="6"/>
        <v>0</v>
      </c>
      <c r="K107" s="15">
        <f t="shared" si="7"/>
        <v>0</v>
      </c>
    </row>
    <row r="108" spans="1:11" ht="21" customHeight="1">
      <c r="A108" s="16">
        <v>6</v>
      </c>
      <c r="B108" s="18" t="s">
        <v>49</v>
      </c>
      <c r="C108" s="23" t="s">
        <v>8</v>
      </c>
      <c r="D108" s="24">
        <f>327+160+192+180+187+208</f>
        <v>1254</v>
      </c>
      <c r="E108" s="24"/>
      <c r="F108" s="15">
        <f t="shared" si="5"/>
        <v>0</v>
      </c>
      <c r="G108" s="24">
        <v>0</v>
      </c>
      <c r="H108" s="15">
        <f t="shared" si="8"/>
        <v>0</v>
      </c>
      <c r="I108" s="24"/>
      <c r="J108" s="15">
        <f t="shared" si="6"/>
        <v>0</v>
      </c>
      <c r="K108" s="15">
        <f t="shared" si="7"/>
        <v>0</v>
      </c>
    </row>
    <row r="109" spans="1:11" ht="21" customHeight="1">
      <c r="A109" s="16">
        <v>7</v>
      </c>
      <c r="B109" s="18" t="s">
        <v>50</v>
      </c>
      <c r="C109" s="23" t="s">
        <v>10</v>
      </c>
      <c r="D109" s="24">
        <f>294+151+188+172+167+190</f>
        <v>1162</v>
      </c>
      <c r="E109" s="24"/>
      <c r="F109" s="15">
        <f t="shared" si="5"/>
        <v>0</v>
      </c>
      <c r="G109" s="24">
        <v>0</v>
      </c>
      <c r="H109" s="15">
        <f t="shared" si="8"/>
        <v>0</v>
      </c>
      <c r="I109" s="24"/>
      <c r="J109" s="15">
        <f t="shared" si="6"/>
        <v>0</v>
      </c>
      <c r="K109" s="15">
        <f t="shared" si="7"/>
        <v>0</v>
      </c>
    </row>
    <row r="110" spans="1:11" ht="28.5" customHeight="1">
      <c r="A110" s="16"/>
      <c r="B110" s="22" t="s">
        <v>303</v>
      </c>
      <c r="C110" s="23" t="s">
        <v>8</v>
      </c>
      <c r="D110" s="35">
        <f>D108*1.03+D109*0.07</f>
        <v>1372.96</v>
      </c>
      <c r="E110" s="24">
        <v>0</v>
      </c>
      <c r="F110" s="15">
        <f t="shared" si="5"/>
        <v>0</v>
      </c>
      <c r="G110" s="24"/>
      <c r="H110" s="15">
        <f t="shared" si="8"/>
        <v>0</v>
      </c>
      <c r="I110" s="24">
        <v>0</v>
      </c>
      <c r="J110" s="15">
        <f t="shared" si="6"/>
        <v>0</v>
      </c>
      <c r="K110" s="15">
        <f t="shared" si="7"/>
        <v>0</v>
      </c>
    </row>
    <row r="111" spans="1:11" ht="16.5" customHeight="1">
      <c r="A111" s="16"/>
      <c r="B111" s="19" t="s">
        <v>26</v>
      </c>
      <c r="C111" s="23" t="s">
        <v>13</v>
      </c>
      <c r="D111" s="24">
        <f>D108*6+D109*0.4</f>
        <v>7988.8</v>
      </c>
      <c r="E111" s="24">
        <v>0</v>
      </c>
      <c r="F111" s="15">
        <f t="shared" si="5"/>
        <v>0</v>
      </c>
      <c r="G111" s="24"/>
      <c r="H111" s="15">
        <f t="shared" si="8"/>
        <v>0</v>
      </c>
      <c r="I111" s="24">
        <v>0</v>
      </c>
      <c r="J111" s="15">
        <f t="shared" si="6"/>
        <v>0</v>
      </c>
      <c r="K111" s="15">
        <f t="shared" si="7"/>
        <v>0</v>
      </c>
    </row>
    <row r="112" spans="1:11" ht="16.5" customHeight="1">
      <c r="A112" s="16"/>
      <c r="B112" s="19" t="s">
        <v>51</v>
      </c>
      <c r="C112" s="23" t="s">
        <v>13</v>
      </c>
      <c r="D112" s="24">
        <f>D108*0.04</f>
        <v>50.160000000000004</v>
      </c>
      <c r="E112" s="24">
        <v>0</v>
      </c>
      <c r="F112" s="15">
        <f t="shared" si="5"/>
        <v>0</v>
      </c>
      <c r="G112" s="24"/>
      <c r="H112" s="15">
        <f t="shared" si="8"/>
        <v>0</v>
      </c>
      <c r="I112" s="24">
        <v>0</v>
      </c>
      <c r="J112" s="15">
        <f t="shared" si="6"/>
        <v>0</v>
      </c>
      <c r="K112" s="15">
        <f t="shared" si="7"/>
        <v>0</v>
      </c>
    </row>
    <row r="113" spans="1:11" ht="16.5" customHeight="1">
      <c r="A113" s="16"/>
      <c r="B113" s="19" t="s">
        <v>52</v>
      </c>
      <c r="C113" s="23" t="s">
        <v>9</v>
      </c>
      <c r="D113" s="24">
        <f>D108*0.01</f>
        <v>12.540000000000001</v>
      </c>
      <c r="E113" s="24">
        <v>0</v>
      </c>
      <c r="F113" s="15">
        <f t="shared" si="5"/>
        <v>0</v>
      </c>
      <c r="G113" s="24"/>
      <c r="H113" s="15">
        <f t="shared" si="8"/>
        <v>0</v>
      </c>
      <c r="I113" s="24">
        <v>0</v>
      </c>
      <c r="J113" s="15">
        <f t="shared" si="6"/>
        <v>0</v>
      </c>
      <c r="K113" s="15">
        <f t="shared" si="7"/>
        <v>0</v>
      </c>
    </row>
    <row r="114" spans="1:11" ht="16.5" customHeight="1">
      <c r="A114" s="16"/>
      <c r="B114" s="19" t="s">
        <v>11</v>
      </c>
      <c r="C114" s="23" t="s">
        <v>12</v>
      </c>
      <c r="D114" s="24">
        <f>D108*0.05</f>
        <v>62.7</v>
      </c>
      <c r="E114" s="24">
        <v>0</v>
      </c>
      <c r="F114" s="15">
        <f t="shared" si="5"/>
        <v>0</v>
      </c>
      <c r="G114" s="24"/>
      <c r="H114" s="15">
        <f t="shared" si="8"/>
        <v>0</v>
      </c>
      <c r="I114" s="24"/>
      <c r="J114" s="15">
        <f t="shared" si="6"/>
        <v>0</v>
      </c>
      <c r="K114" s="15">
        <f t="shared" si="7"/>
        <v>0</v>
      </c>
    </row>
    <row r="115" spans="1:11" ht="20.25" customHeight="1">
      <c r="A115" s="16">
        <v>8</v>
      </c>
      <c r="B115" s="18" t="s">
        <v>70</v>
      </c>
      <c r="C115" s="23" t="s">
        <v>8</v>
      </c>
      <c r="D115" s="24">
        <f>13+11+25+16+17+17</f>
        <v>99</v>
      </c>
      <c r="E115" s="24"/>
      <c r="F115" s="15">
        <f t="shared" si="5"/>
        <v>0</v>
      </c>
      <c r="G115" s="24">
        <v>0</v>
      </c>
      <c r="H115" s="15">
        <f t="shared" si="8"/>
        <v>0</v>
      </c>
      <c r="I115" s="24"/>
      <c r="J115" s="15">
        <f t="shared" si="6"/>
        <v>0</v>
      </c>
      <c r="K115" s="15">
        <f t="shared" si="7"/>
        <v>0</v>
      </c>
    </row>
    <row r="116" spans="1:11" ht="20.25" customHeight="1">
      <c r="A116" s="16">
        <v>9</v>
      </c>
      <c r="B116" s="18" t="s">
        <v>198</v>
      </c>
      <c r="C116" s="23" t="s">
        <v>8</v>
      </c>
      <c r="D116" s="24">
        <f>62+68+133+91+92+92</f>
        <v>538</v>
      </c>
      <c r="E116" s="24"/>
      <c r="F116" s="15">
        <f t="shared" si="5"/>
        <v>0</v>
      </c>
      <c r="G116" s="24">
        <v>0</v>
      </c>
      <c r="H116" s="15">
        <f t="shared" si="8"/>
        <v>0</v>
      </c>
      <c r="I116" s="24"/>
      <c r="J116" s="15">
        <f t="shared" si="6"/>
        <v>0</v>
      </c>
      <c r="K116" s="15">
        <f t="shared" si="7"/>
        <v>0</v>
      </c>
    </row>
    <row r="117" spans="1:11">
      <c r="A117" s="16"/>
      <c r="B117" s="19" t="s">
        <v>83</v>
      </c>
      <c r="C117" s="23" t="s">
        <v>8</v>
      </c>
      <c r="D117" s="24">
        <f>93*1.03</f>
        <v>95.79</v>
      </c>
      <c r="E117" s="24">
        <v>0</v>
      </c>
      <c r="F117" s="15">
        <f t="shared" si="5"/>
        <v>0</v>
      </c>
      <c r="G117" s="24"/>
      <c r="H117" s="15">
        <f t="shared" si="8"/>
        <v>0</v>
      </c>
      <c r="I117" s="24">
        <v>0</v>
      </c>
      <c r="J117" s="15">
        <f t="shared" si="6"/>
        <v>0</v>
      </c>
      <c r="K117" s="15">
        <f t="shared" si="7"/>
        <v>0</v>
      </c>
    </row>
    <row r="118" spans="1:11">
      <c r="A118" s="16"/>
      <c r="B118" s="19" t="s">
        <v>54</v>
      </c>
      <c r="C118" s="23" t="s">
        <v>8</v>
      </c>
      <c r="D118" s="24">
        <f>D116*1.03</f>
        <v>554.14</v>
      </c>
      <c r="E118" s="24">
        <v>0</v>
      </c>
      <c r="F118" s="15">
        <f t="shared" si="5"/>
        <v>0</v>
      </c>
      <c r="G118" s="24"/>
      <c r="H118" s="15">
        <f t="shared" si="8"/>
        <v>0</v>
      </c>
      <c r="I118" s="24">
        <v>0</v>
      </c>
      <c r="J118" s="15">
        <f t="shared" si="6"/>
        <v>0</v>
      </c>
      <c r="K118" s="15">
        <f t="shared" si="7"/>
        <v>0</v>
      </c>
    </row>
    <row r="119" spans="1:11">
      <c r="A119" s="16"/>
      <c r="B119" s="19" t="s">
        <v>26</v>
      </c>
      <c r="C119" s="23" t="s">
        <v>13</v>
      </c>
      <c r="D119" s="24">
        <f>(D115+D116)*5.5</f>
        <v>3503.5</v>
      </c>
      <c r="E119" s="24">
        <v>0</v>
      </c>
      <c r="F119" s="15">
        <f t="shared" si="5"/>
        <v>0</v>
      </c>
      <c r="G119" s="24"/>
      <c r="H119" s="15">
        <f t="shared" si="8"/>
        <v>0</v>
      </c>
      <c r="I119" s="24">
        <v>0</v>
      </c>
      <c r="J119" s="15">
        <f t="shared" si="6"/>
        <v>0</v>
      </c>
      <c r="K119" s="15">
        <f t="shared" si="7"/>
        <v>0</v>
      </c>
    </row>
    <row r="120" spans="1:11">
      <c r="A120" s="16"/>
      <c r="B120" s="19" t="s">
        <v>27</v>
      </c>
      <c r="C120" s="23" t="s">
        <v>13</v>
      </c>
      <c r="D120" s="24">
        <f>(D115+D116)*0.04</f>
        <v>25.48</v>
      </c>
      <c r="E120" s="24">
        <v>0</v>
      </c>
      <c r="F120" s="15">
        <f t="shared" si="5"/>
        <v>0</v>
      </c>
      <c r="G120" s="24"/>
      <c r="H120" s="15">
        <f t="shared" si="8"/>
        <v>0</v>
      </c>
      <c r="I120" s="24">
        <v>0</v>
      </c>
      <c r="J120" s="15">
        <f t="shared" si="6"/>
        <v>0</v>
      </c>
      <c r="K120" s="15">
        <f t="shared" si="7"/>
        <v>0</v>
      </c>
    </row>
    <row r="121" spans="1:11">
      <c r="A121" s="16"/>
      <c r="B121" s="19" t="s">
        <v>33</v>
      </c>
      <c r="C121" s="23" t="s">
        <v>9</v>
      </c>
      <c r="D121" s="24">
        <f>(D115+D116)*0.1</f>
        <v>63.7</v>
      </c>
      <c r="E121" s="24">
        <v>0</v>
      </c>
      <c r="F121" s="15">
        <f t="shared" si="5"/>
        <v>0</v>
      </c>
      <c r="G121" s="24"/>
      <c r="H121" s="15">
        <f t="shared" si="8"/>
        <v>0</v>
      </c>
      <c r="I121" s="24">
        <v>0</v>
      </c>
      <c r="J121" s="15">
        <f t="shared" si="6"/>
        <v>0</v>
      </c>
      <c r="K121" s="15">
        <f t="shared" si="7"/>
        <v>0</v>
      </c>
    </row>
    <row r="122" spans="1:11">
      <c r="A122" s="16"/>
      <c r="B122" s="19" t="s">
        <v>11</v>
      </c>
      <c r="C122" s="23" t="s">
        <v>12</v>
      </c>
      <c r="D122" s="24">
        <f>(D115+D116)*0.05</f>
        <v>31.85</v>
      </c>
      <c r="E122" s="24">
        <v>0</v>
      </c>
      <c r="F122" s="15">
        <f t="shared" si="5"/>
        <v>0</v>
      </c>
      <c r="G122" s="24"/>
      <c r="H122" s="15">
        <f t="shared" si="8"/>
        <v>0</v>
      </c>
      <c r="I122" s="24"/>
      <c r="J122" s="15">
        <f t="shared" si="6"/>
        <v>0</v>
      </c>
      <c r="K122" s="15">
        <f t="shared" si="7"/>
        <v>0</v>
      </c>
    </row>
    <row r="123" spans="1:11" ht="20.25" customHeight="1">
      <c r="A123" s="16"/>
      <c r="B123" s="116" t="s">
        <v>212</v>
      </c>
      <c r="C123" s="23"/>
      <c r="D123" s="24"/>
      <c r="E123" s="24"/>
      <c r="F123" s="15">
        <f t="shared" si="5"/>
        <v>0</v>
      </c>
      <c r="G123" s="24"/>
      <c r="H123" s="15">
        <f t="shared" si="8"/>
        <v>0</v>
      </c>
      <c r="I123" s="24"/>
      <c r="J123" s="15">
        <f t="shared" si="6"/>
        <v>0</v>
      </c>
      <c r="K123" s="15">
        <f t="shared" si="7"/>
        <v>0</v>
      </c>
    </row>
    <row r="124" spans="1:11">
      <c r="A124" s="16">
        <v>1</v>
      </c>
      <c r="B124" s="18" t="s">
        <v>169</v>
      </c>
      <c r="C124" s="23" t="s">
        <v>8</v>
      </c>
      <c r="D124" s="15">
        <v>23</v>
      </c>
      <c r="E124" s="15"/>
      <c r="F124" s="15">
        <f t="shared" si="5"/>
        <v>0</v>
      </c>
      <c r="G124" s="15">
        <v>0</v>
      </c>
      <c r="H124" s="15">
        <f t="shared" si="8"/>
        <v>0</v>
      </c>
      <c r="I124" s="15"/>
      <c r="J124" s="15">
        <f t="shared" si="6"/>
        <v>0</v>
      </c>
      <c r="K124" s="15">
        <f t="shared" si="7"/>
        <v>0</v>
      </c>
    </row>
    <row r="125" spans="1:11">
      <c r="A125" s="16">
        <v>2</v>
      </c>
      <c r="B125" s="18" t="s">
        <v>57</v>
      </c>
      <c r="C125" s="23" t="s">
        <v>8</v>
      </c>
      <c r="D125" s="15">
        <v>14</v>
      </c>
      <c r="E125" s="15"/>
      <c r="F125" s="15">
        <f t="shared" si="5"/>
        <v>0</v>
      </c>
      <c r="G125" s="15">
        <v>0</v>
      </c>
      <c r="H125" s="15">
        <f t="shared" si="8"/>
        <v>0</v>
      </c>
      <c r="I125" s="15"/>
      <c r="J125" s="15">
        <f t="shared" si="6"/>
        <v>0</v>
      </c>
      <c r="K125" s="15">
        <f t="shared" si="7"/>
        <v>0</v>
      </c>
    </row>
    <row r="126" spans="1:11">
      <c r="A126" s="16"/>
      <c r="B126" s="33" t="s">
        <v>170</v>
      </c>
      <c r="C126" s="10" t="s">
        <v>37</v>
      </c>
      <c r="D126" s="15">
        <f>0.55+0.45</f>
        <v>1</v>
      </c>
      <c r="E126" s="15">
        <v>0</v>
      </c>
      <c r="F126" s="15">
        <f t="shared" si="5"/>
        <v>0</v>
      </c>
      <c r="G126" s="15"/>
      <c r="H126" s="15">
        <f t="shared" si="8"/>
        <v>0</v>
      </c>
      <c r="I126" s="15">
        <v>0</v>
      </c>
      <c r="J126" s="15">
        <f t="shared" si="6"/>
        <v>0</v>
      </c>
      <c r="K126" s="15">
        <f t="shared" si="7"/>
        <v>0</v>
      </c>
    </row>
    <row r="127" spans="1:11">
      <c r="A127" s="16"/>
      <c r="B127" s="33" t="s">
        <v>171</v>
      </c>
      <c r="C127" s="10" t="s">
        <v>21</v>
      </c>
      <c r="D127" s="31">
        <f>D124*12.5</f>
        <v>287.5</v>
      </c>
      <c r="E127" s="15">
        <v>0</v>
      </c>
      <c r="F127" s="15">
        <f t="shared" si="5"/>
        <v>0</v>
      </c>
      <c r="G127" s="15"/>
      <c r="H127" s="15">
        <f t="shared" si="8"/>
        <v>0</v>
      </c>
      <c r="I127" s="15">
        <v>0</v>
      </c>
      <c r="J127" s="15">
        <f t="shared" si="6"/>
        <v>0</v>
      </c>
      <c r="K127" s="15">
        <f t="shared" si="7"/>
        <v>0</v>
      </c>
    </row>
    <row r="128" spans="1:11">
      <c r="A128" s="16"/>
      <c r="B128" s="33" t="s">
        <v>58</v>
      </c>
      <c r="C128" s="10" t="s">
        <v>21</v>
      </c>
      <c r="D128" s="31">
        <f>D125*12.5</f>
        <v>175</v>
      </c>
      <c r="E128" s="15">
        <v>0</v>
      </c>
      <c r="F128" s="15">
        <f t="shared" si="5"/>
        <v>0</v>
      </c>
      <c r="G128" s="15"/>
      <c r="H128" s="15">
        <f t="shared" si="8"/>
        <v>0</v>
      </c>
      <c r="I128" s="15">
        <v>0</v>
      </c>
      <c r="J128" s="15">
        <f t="shared" si="6"/>
        <v>0</v>
      </c>
      <c r="K128" s="15">
        <f t="shared" si="7"/>
        <v>0</v>
      </c>
    </row>
    <row r="129" spans="1:11">
      <c r="A129" s="16"/>
      <c r="B129" s="33" t="s">
        <v>40</v>
      </c>
      <c r="C129" s="10" t="s">
        <v>12</v>
      </c>
      <c r="D129" s="15">
        <f>0.16*D124</f>
        <v>3.68</v>
      </c>
      <c r="E129" s="15">
        <v>0</v>
      </c>
      <c r="F129" s="15">
        <f t="shared" si="5"/>
        <v>0</v>
      </c>
      <c r="G129" s="15"/>
      <c r="H129" s="15">
        <f t="shared" si="8"/>
        <v>0</v>
      </c>
      <c r="I129" s="15"/>
      <c r="J129" s="15">
        <f t="shared" si="6"/>
        <v>0</v>
      </c>
      <c r="K129" s="15">
        <f t="shared" si="7"/>
        <v>0</v>
      </c>
    </row>
    <row r="130" spans="1:11" ht="32.25" customHeight="1">
      <c r="A130" s="16">
        <v>3</v>
      </c>
      <c r="B130" s="18" t="s">
        <v>237</v>
      </c>
      <c r="C130" s="23" t="s">
        <v>8</v>
      </c>
      <c r="D130" s="15">
        <v>45</v>
      </c>
      <c r="E130" s="15"/>
      <c r="F130" s="15">
        <f t="shared" si="5"/>
        <v>0</v>
      </c>
      <c r="G130" s="15">
        <v>0</v>
      </c>
      <c r="H130" s="15">
        <f t="shared" si="8"/>
        <v>0</v>
      </c>
      <c r="I130" s="15"/>
      <c r="J130" s="15">
        <f t="shared" si="6"/>
        <v>0</v>
      </c>
      <c r="K130" s="15">
        <f t="shared" si="7"/>
        <v>0</v>
      </c>
    </row>
    <row r="131" spans="1:11">
      <c r="A131" s="16"/>
      <c r="B131" s="33" t="s">
        <v>41</v>
      </c>
      <c r="C131" s="10" t="s">
        <v>37</v>
      </c>
      <c r="D131" s="15">
        <f>D132/42*0.18</f>
        <v>2.4107142857142856</v>
      </c>
      <c r="E131" s="15">
        <v>0</v>
      </c>
      <c r="F131" s="15">
        <f t="shared" si="5"/>
        <v>0</v>
      </c>
      <c r="G131" s="15"/>
      <c r="H131" s="15">
        <f t="shared" si="8"/>
        <v>0</v>
      </c>
      <c r="I131" s="15">
        <v>0</v>
      </c>
      <c r="J131" s="15">
        <f t="shared" si="6"/>
        <v>0</v>
      </c>
      <c r="K131" s="15">
        <f t="shared" si="7"/>
        <v>0</v>
      </c>
    </row>
    <row r="132" spans="1:11">
      <c r="A132" s="16"/>
      <c r="B132" s="33" t="s">
        <v>42</v>
      </c>
      <c r="C132" s="10" t="s">
        <v>21</v>
      </c>
      <c r="D132" s="31">
        <f>D130*12.5</f>
        <v>562.5</v>
      </c>
      <c r="E132" s="15">
        <v>0</v>
      </c>
      <c r="F132" s="15">
        <f t="shared" si="5"/>
        <v>0</v>
      </c>
      <c r="G132" s="15"/>
      <c r="H132" s="15">
        <f t="shared" si="8"/>
        <v>0</v>
      </c>
      <c r="I132" s="15">
        <v>0</v>
      </c>
      <c r="J132" s="15">
        <f t="shared" si="6"/>
        <v>0</v>
      </c>
      <c r="K132" s="15">
        <f t="shared" si="7"/>
        <v>0</v>
      </c>
    </row>
    <row r="133" spans="1:11">
      <c r="A133" s="16"/>
      <c r="B133" s="33" t="s">
        <v>40</v>
      </c>
      <c r="C133" s="10" t="s">
        <v>12</v>
      </c>
      <c r="D133" s="15">
        <f>0.16*D130</f>
        <v>7.2</v>
      </c>
      <c r="E133" s="15">
        <v>0</v>
      </c>
      <c r="F133" s="15">
        <f t="shared" si="5"/>
        <v>0</v>
      </c>
      <c r="G133" s="15"/>
      <c r="H133" s="15">
        <f t="shared" si="8"/>
        <v>0</v>
      </c>
      <c r="I133" s="15"/>
      <c r="J133" s="15">
        <f t="shared" si="6"/>
        <v>0</v>
      </c>
      <c r="K133" s="15">
        <f t="shared" si="7"/>
        <v>0</v>
      </c>
    </row>
    <row r="134" spans="1:11" ht="25.5" customHeight="1">
      <c r="A134" s="16">
        <v>4</v>
      </c>
      <c r="B134" s="18" t="s">
        <v>208</v>
      </c>
      <c r="C134" s="10" t="s">
        <v>38</v>
      </c>
      <c r="D134" s="24">
        <f>13*3.7+25</f>
        <v>73.099999999999994</v>
      </c>
      <c r="E134" s="15"/>
      <c r="F134" s="15">
        <f t="shared" si="5"/>
        <v>0</v>
      </c>
      <c r="G134" s="15">
        <v>0</v>
      </c>
      <c r="H134" s="15">
        <f t="shared" si="8"/>
        <v>0</v>
      </c>
      <c r="I134" s="15"/>
      <c r="J134" s="15">
        <f t="shared" si="6"/>
        <v>0</v>
      </c>
      <c r="K134" s="15">
        <f t="shared" si="7"/>
        <v>0</v>
      </c>
    </row>
    <row r="135" spans="1:11" ht="31.5" customHeight="1">
      <c r="A135" s="16">
        <v>5</v>
      </c>
      <c r="B135" s="18" t="s">
        <v>211</v>
      </c>
      <c r="C135" s="10" t="s">
        <v>38</v>
      </c>
      <c r="D135" s="24">
        <v>25</v>
      </c>
      <c r="E135" s="15"/>
      <c r="F135" s="15">
        <f t="shared" si="5"/>
        <v>0</v>
      </c>
      <c r="G135" s="15">
        <v>0</v>
      </c>
      <c r="H135" s="15">
        <f t="shared" si="8"/>
        <v>0</v>
      </c>
      <c r="I135" s="15"/>
      <c r="J135" s="15">
        <f t="shared" si="6"/>
        <v>0</v>
      </c>
      <c r="K135" s="15">
        <f t="shared" si="7"/>
        <v>0</v>
      </c>
    </row>
    <row r="136" spans="1:11">
      <c r="A136" s="16"/>
      <c r="B136" s="33" t="s">
        <v>55</v>
      </c>
      <c r="C136" s="10" t="s">
        <v>39</v>
      </c>
      <c r="D136" s="15">
        <f>D137*0.15</f>
        <v>0.5482499999999999</v>
      </c>
      <c r="E136" s="15">
        <v>0</v>
      </c>
      <c r="F136" s="15">
        <f t="shared" si="5"/>
        <v>0</v>
      </c>
      <c r="G136" s="15"/>
      <c r="H136" s="15">
        <f t="shared" si="8"/>
        <v>0</v>
      </c>
      <c r="I136" s="15">
        <v>0</v>
      </c>
      <c r="J136" s="15">
        <f t="shared" si="6"/>
        <v>0</v>
      </c>
      <c r="K136" s="15">
        <f t="shared" si="7"/>
        <v>0</v>
      </c>
    </row>
    <row r="137" spans="1:11">
      <c r="A137" s="16"/>
      <c r="B137" s="33" t="s">
        <v>56</v>
      </c>
      <c r="C137" s="10" t="s">
        <v>39</v>
      </c>
      <c r="D137" s="15">
        <f>D134*0.05</f>
        <v>3.6549999999999998</v>
      </c>
      <c r="E137" s="15">
        <v>0</v>
      </c>
      <c r="F137" s="15">
        <f t="shared" si="5"/>
        <v>0</v>
      </c>
      <c r="G137" s="15"/>
      <c r="H137" s="15">
        <f t="shared" si="8"/>
        <v>0</v>
      </c>
      <c r="I137" s="15">
        <v>0</v>
      </c>
      <c r="J137" s="15">
        <f t="shared" si="6"/>
        <v>0</v>
      </c>
      <c r="K137" s="15">
        <f t="shared" si="7"/>
        <v>0</v>
      </c>
    </row>
    <row r="138" spans="1:11" ht="15.75">
      <c r="A138" s="16"/>
      <c r="B138" s="22" t="s">
        <v>46</v>
      </c>
      <c r="C138" s="41" t="s">
        <v>36</v>
      </c>
      <c r="D138" s="115">
        <f>D134*1</f>
        <v>73.099999999999994</v>
      </c>
      <c r="E138" s="15">
        <v>0</v>
      </c>
      <c r="F138" s="15">
        <f t="shared" si="5"/>
        <v>0</v>
      </c>
      <c r="G138" s="40"/>
      <c r="H138" s="15">
        <f t="shared" si="8"/>
        <v>0</v>
      </c>
      <c r="I138" s="15">
        <v>0</v>
      </c>
      <c r="J138" s="15">
        <f t="shared" si="6"/>
        <v>0</v>
      </c>
      <c r="K138" s="15">
        <f t="shared" si="7"/>
        <v>0</v>
      </c>
    </row>
    <row r="139" spans="1:11">
      <c r="A139" s="16"/>
      <c r="B139" s="6" t="s">
        <v>207</v>
      </c>
      <c r="C139" s="10" t="s">
        <v>8</v>
      </c>
      <c r="D139" s="15">
        <f>D138</f>
        <v>73.099999999999994</v>
      </c>
      <c r="E139" s="15">
        <v>0</v>
      </c>
      <c r="F139" s="15">
        <f t="shared" ref="F139:F201" si="13">E139*D139</f>
        <v>0</v>
      </c>
      <c r="G139" s="15"/>
      <c r="H139" s="15">
        <f t="shared" si="8"/>
        <v>0</v>
      </c>
      <c r="I139" s="15">
        <v>0</v>
      </c>
      <c r="J139" s="15">
        <f t="shared" ref="J139:J201" si="14">I139*D139</f>
        <v>0</v>
      </c>
      <c r="K139" s="15">
        <f t="shared" ref="K139:K201" si="15">J139+H139+F139</f>
        <v>0</v>
      </c>
    </row>
    <row r="140" spans="1:11">
      <c r="A140" s="16"/>
      <c r="B140" s="22" t="s">
        <v>210</v>
      </c>
      <c r="C140" s="10" t="s">
        <v>8</v>
      </c>
      <c r="D140" s="31">
        <f>D135*1.1</f>
        <v>27.500000000000004</v>
      </c>
      <c r="E140" s="15">
        <v>0</v>
      </c>
      <c r="F140" s="15">
        <f t="shared" si="13"/>
        <v>0</v>
      </c>
      <c r="G140" s="15"/>
      <c r="H140" s="15">
        <f t="shared" ref="H140:H202" si="16">G140*D140</f>
        <v>0</v>
      </c>
      <c r="I140" s="15">
        <v>0</v>
      </c>
      <c r="J140" s="15">
        <f t="shared" si="14"/>
        <v>0</v>
      </c>
      <c r="K140" s="15">
        <f t="shared" si="15"/>
        <v>0</v>
      </c>
    </row>
    <row r="141" spans="1:11" ht="30">
      <c r="A141" s="16"/>
      <c r="B141" s="22" t="s">
        <v>209</v>
      </c>
      <c r="C141" s="10" t="s">
        <v>9</v>
      </c>
      <c r="D141" s="31">
        <v>2</v>
      </c>
      <c r="E141" s="15">
        <v>0</v>
      </c>
      <c r="F141" s="15">
        <f t="shared" si="13"/>
        <v>0</v>
      </c>
      <c r="G141" s="15"/>
      <c r="H141" s="15">
        <f t="shared" si="16"/>
        <v>0</v>
      </c>
      <c r="I141" s="15">
        <v>0</v>
      </c>
      <c r="J141" s="15">
        <f t="shared" si="14"/>
        <v>0</v>
      </c>
      <c r="K141" s="15">
        <f t="shared" si="15"/>
        <v>0</v>
      </c>
    </row>
    <row r="142" spans="1:11">
      <c r="A142" s="16"/>
      <c r="B142" s="33" t="s">
        <v>40</v>
      </c>
      <c r="C142" s="10" t="s">
        <v>12</v>
      </c>
      <c r="D142" s="15">
        <f>0.16*D134</f>
        <v>11.696</v>
      </c>
      <c r="E142" s="15">
        <v>0</v>
      </c>
      <c r="F142" s="15">
        <f t="shared" si="13"/>
        <v>0</v>
      </c>
      <c r="G142" s="15"/>
      <c r="H142" s="15">
        <f t="shared" si="16"/>
        <v>0</v>
      </c>
      <c r="I142" s="15"/>
      <c r="J142" s="15">
        <f t="shared" si="14"/>
        <v>0</v>
      </c>
      <c r="K142" s="15">
        <f t="shared" si="15"/>
        <v>0</v>
      </c>
    </row>
    <row r="143" spans="1:11" ht="18.75" customHeight="1">
      <c r="A143" s="16">
        <v>6</v>
      </c>
      <c r="B143" s="18" t="s">
        <v>200</v>
      </c>
      <c r="C143" s="10" t="s">
        <v>38</v>
      </c>
      <c r="D143" s="24">
        <f>(D124+D125)*2+13*3.7</f>
        <v>122.1</v>
      </c>
      <c r="E143" s="15"/>
      <c r="F143" s="15">
        <f t="shared" si="13"/>
        <v>0</v>
      </c>
      <c r="G143" s="15">
        <v>0</v>
      </c>
      <c r="H143" s="15">
        <f t="shared" si="16"/>
        <v>0</v>
      </c>
      <c r="I143" s="15"/>
      <c r="J143" s="15">
        <f t="shared" si="14"/>
        <v>0</v>
      </c>
      <c r="K143" s="15">
        <f t="shared" si="15"/>
        <v>0</v>
      </c>
    </row>
    <row r="144" spans="1:11" ht="18.75" customHeight="1">
      <c r="A144" s="16">
        <v>7</v>
      </c>
      <c r="B144" s="18" t="s">
        <v>71</v>
      </c>
      <c r="C144" s="10" t="s">
        <v>10</v>
      </c>
      <c r="D144" s="24">
        <v>173</v>
      </c>
      <c r="E144" s="15"/>
      <c r="F144" s="15">
        <f t="shared" si="13"/>
        <v>0</v>
      </c>
      <c r="G144" s="15">
        <v>0</v>
      </c>
      <c r="H144" s="15">
        <f t="shared" si="16"/>
        <v>0</v>
      </c>
      <c r="I144" s="15"/>
      <c r="J144" s="15">
        <f t="shared" si="14"/>
        <v>0</v>
      </c>
      <c r="K144" s="15">
        <f t="shared" si="15"/>
        <v>0</v>
      </c>
    </row>
    <row r="145" spans="1:11">
      <c r="A145" s="16"/>
      <c r="B145" s="33" t="s">
        <v>55</v>
      </c>
      <c r="C145" s="10" t="s">
        <v>39</v>
      </c>
      <c r="D145" s="15">
        <f>D146*0.3</f>
        <v>1.1589</v>
      </c>
      <c r="E145" s="15">
        <v>0</v>
      </c>
      <c r="F145" s="15">
        <f t="shared" si="13"/>
        <v>0</v>
      </c>
      <c r="G145" s="15"/>
      <c r="H145" s="15">
        <f t="shared" si="16"/>
        <v>0</v>
      </c>
      <c r="I145" s="15">
        <v>0</v>
      </c>
      <c r="J145" s="15">
        <f t="shared" si="14"/>
        <v>0</v>
      </c>
      <c r="K145" s="15">
        <f t="shared" si="15"/>
        <v>0</v>
      </c>
    </row>
    <row r="146" spans="1:11">
      <c r="A146" s="16"/>
      <c r="B146" s="33" t="s">
        <v>59</v>
      </c>
      <c r="C146" s="10" t="s">
        <v>32</v>
      </c>
      <c r="D146" s="15">
        <f>D143*0.03+0.2</f>
        <v>3.863</v>
      </c>
      <c r="E146" s="15">
        <v>0</v>
      </c>
      <c r="F146" s="15">
        <f t="shared" si="13"/>
        <v>0</v>
      </c>
      <c r="G146" s="15"/>
      <c r="H146" s="15">
        <f t="shared" si="16"/>
        <v>0</v>
      </c>
      <c r="I146" s="15">
        <v>0</v>
      </c>
      <c r="J146" s="15">
        <f t="shared" si="14"/>
        <v>0</v>
      </c>
      <c r="K146" s="15">
        <f t="shared" si="15"/>
        <v>0</v>
      </c>
    </row>
    <row r="147" spans="1:11" ht="15.75">
      <c r="A147" s="16"/>
      <c r="B147" s="22" t="s">
        <v>46</v>
      </c>
      <c r="C147" s="41" t="s">
        <v>36</v>
      </c>
      <c r="D147" s="115">
        <f>D143*1</f>
        <v>122.1</v>
      </c>
      <c r="E147" s="15">
        <v>0</v>
      </c>
      <c r="F147" s="15">
        <f t="shared" si="13"/>
        <v>0</v>
      </c>
      <c r="G147" s="40"/>
      <c r="H147" s="15">
        <f t="shared" si="16"/>
        <v>0</v>
      </c>
      <c r="I147" s="40">
        <v>0</v>
      </c>
      <c r="J147" s="15">
        <f t="shared" si="14"/>
        <v>0</v>
      </c>
      <c r="K147" s="15">
        <f t="shared" si="15"/>
        <v>0</v>
      </c>
    </row>
    <row r="148" spans="1:11">
      <c r="A148" s="16"/>
      <c r="B148" s="33" t="s">
        <v>40</v>
      </c>
      <c r="C148" s="10" t="s">
        <v>12</v>
      </c>
      <c r="D148" s="15">
        <f>0.16*D143</f>
        <v>19.535999999999998</v>
      </c>
      <c r="E148" s="15">
        <v>0</v>
      </c>
      <c r="F148" s="15">
        <f t="shared" si="13"/>
        <v>0</v>
      </c>
      <c r="G148" s="15"/>
      <c r="H148" s="15">
        <f t="shared" si="16"/>
        <v>0</v>
      </c>
      <c r="I148" s="15"/>
      <c r="J148" s="15">
        <f t="shared" si="14"/>
        <v>0</v>
      </c>
      <c r="K148" s="15">
        <f t="shared" si="15"/>
        <v>0</v>
      </c>
    </row>
    <row r="149" spans="1:11" ht="27" customHeight="1">
      <c r="A149" s="16">
        <v>8</v>
      </c>
      <c r="B149" s="118" t="s">
        <v>60</v>
      </c>
      <c r="C149" s="34" t="s">
        <v>8</v>
      </c>
      <c r="D149" s="15">
        <v>177</v>
      </c>
      <c r="E149" s="15"/>
      <c r="F149" s="15">
        <f t="shared" si="13"/>
        <v>0</v>
      </c>
      <c r="G149" s="15">
        <v>0</v>
      </c>
      <c r="H149" s="15">
        <f t="shared" si="16"/>
        <v>0</v>
      </c>
      <c r="I149" s="15"/>
      <c r="J149" s="15">
        <f t="shared" si="14"/>
        <v>0</v>
      </c>
      <c r="K149" s="15">
        <f t="shared" si="15"/>
        <v>0</v>
      </c>
    </row>
    <row r="150" spans="1:11" ht="18.75" customHeight="1">
      <c r="A150" s="16">
        <v>9</v>
      </c>
      <c r="B150" s="18" t="s">
        <v>62</v>
      </c>
      <c r="C150" s="34" t="s">
        <v>8</v>
      </c>
      <c r="D150" s="15">
        <v>101</v>
      </c>
      <c r="E150" s="15"/>
      <c r="F150" s="15">
        <f t="shared" si="13"/>
        <v>0</v>
      </c>
      <c r="G150" s="15">
        <v>0</v>
      </c>
      <c r="H150" s="15">
        <f t="shared" si="16"/>
        <v>0</v>
      </c>
      <c r="I150" s="15"/>
      <c r="J150" s="15">
        <f t="shared" si="14"/>
        <v>0</v>
      </c>
      <c r="K150" s="15">
        <f t="shared" si="15"/>
        <v>0</v>
      </c>
    </row>
    <row r="151" spans="1:11" ht="25.5" customHeight="1">
      <c r="A151" s="16">
        <v>10</v>
      </c>
      <c r="B151" s="119" t="s">
        <v>61</v>
      </c>
      <c r="C151" s="34" t="s">
        <v>8</v>
      </c>
      <c r="D151" s="24">
        <v>94</v>
      </c>
      <c r="E151" s="24"/>
      <c r="F151" s="15">
        <f t="shared" si="13"/>
        <v>0</v>
      </c>
      <c r="G151" s="15">
        <v>0</v>
      </c>
      <c r="H151" s="15">
        <f t="shared" si="16"/>
        <v>0</v>
      </c>
      <c r="I151" s="24"/>
      <c r="J151" s="15">
        <f t="shared" si="14"/>
        <v>0</v>
      </c>
      <c r="K151" s="15">
        <f t="shared" si="15"/>
        <v>0</v>
      </c>
    </row>
    <row r="152" spans="1:11" ht="30">
      <c r="A152" s="16">
        <v>11</v>
      </c>
      <c r="B152" s="120" t="s">
        <v>63</v>
      </c>
      <c r="C152" s="34" t="s">
        <v>8</v>
      </c>
      <c r="D152" s="24">
        <v>14</v>
      </c>
      <c r="E152" s="24"/>
      <c r="F152" s="15">
        <f t="shared" si="13"/>
        <v>0</v>
      </c>
      <c r="G152" s="15">
        <v>0</v>
      </c>
      <c r="H152" s="15">
        <f t="shared" si="16"/>
        <v>0</v>
      </c>
      <c r="I152" s="24"/>
      <c r="J152" s="15">
        <f t="shared" si="14"/>
        <v>0</v>
      </c>
      <c r="K152" s="15">
        <f t="shared" si="15"/>
        <v>0</v>
      </c>
    </row>
    <row r="153" spans="1:11" ht="19.5" customHeight="1">
      <c r="A153" s="16">
        <v>12</v>
      </c>
      <c r="B153" s="18" t="s">
        <v>166</v>
      </c>
      <c r="C153" s="34" t="s">
        <v>8</v>
      </c>
      <c r="D153" s="24">
        <v>13</v>
      </c>
      <c r="E153" s="24"/>
      <c r="F153" s="15">
        <f t="shared" si="13"/>
        <v>0</v>
      </c>
      <c r="G153" s="15">
        <v>0</v>
      </c>
      <c r="H153" s="15">
        <f t="shared" si="16"/>
        <v>0</v>
      </c>
      <c r="I153" s="24"/>
      <c r="J153" s="15">
        <f t="shared" si="14"/>
        <v>0</v>
      </c>
      <c r="K153" s="15">
        <f t="shared" si="15"/>
        <v>0</v>
      </c>
    </row>
    <row r="154" spans="1:11" ht="19.5" customHeight="1">
      <c r="A154" s="16">
        <v>13</v>
      </c>
      <c r="B154" s="118" t="s">
        <v>167</v>
      </c>
      <c r="C154" s="34" t="s">
        <v>8</v>
      </c>
      <c r="D154" s="24">
        <v>6</v>
      </c>
      <c r="E154" s="24"/>
      <c r="F154" s="15">
        <f t="shared" si="13"/>
        <v>0</v>
      </c>
      <c r="G154" s="15">
        <v>0</v>
      </c>
      <c r="H154" s="15">
        <f t="shared" si="16"/>
        <v>0</v>
      </c>
      <c r="I154" s="24"/>
      <c r="J154" s="15">
        <f t="shared" si="14"/>
        <v>0</v>
      </c>
      <c r="K154" s="15">
        <f t="shared" si="15"/>
        <v>0</v>
      </c>
    </row>
    <row r="155" spans="1:11" ht="19.5" customHeight="1">
      <c r="A155" s="16">
        <v>14</v>
      </c>
      <c r="B155" s="119" t="s">
        <v>168</v>
      </c>
      <c r="C155" s="34" t="s">
        <v>8</v>
      </c>
      <c r="D155" s="24">
        <v>50</v>
      </c>
      <c r="E155" s="24"/>
      <c r="F155" s="15">
        <f t="shared" si="13"/>
        <v>0</v>
      </c>
      <c r="G155" s="15">
        <v>0</v>
      </c>
      <c r="H155" s="15">
        <f t="shared" si="16"/>
        <v>0</v>
      </c>
      <c r="I155" s="24"/>
      <c r="J155" s="15">
        <f t="shared" si="14"/>
        <v>0</v>
      </c>
      <c r="K155" s="15">
        <f t="shared" si="15"/>
        <v>0</v>
      </c>
    </row>
    <row r="156" spans="1:11" ht="19.5" customHeight="1">
      <c r="A156" s="16"/>
      <c r="B156" s="49" t="s">
        <v>202</v>
      </c>
      <c r="C156" s="34" t="s">
        <v>8</v>
      </c>
      <c r="D156" s="24">
        <f>D149*2.05+D154*1.05</f>
        <v>369.15</v>
      </c>
      <c r="E156" s="24">
        <v>0</v>
      </c>
      <c r="F156" s="15">
        <f t="shared" si="13"/>
        <v>0</v>
      </c>
      <c r="G156" s="24"/>
      <c r="H156" s="15">
        <f t="shared" si="16"/>
        <v>0</v>
      </c>
      <c r="I156" s="24">
        <v>0</v>
      </c>
      <c r="J156" s="15">
        <f t="shared" si="14"/>
        <v>0</v>
      </c>
      <c r="K156" s="15">
        <f t="shared" si="15"/>
        <v>0</v>
      </c>
    </row>
    <row r="157" spans="1:11" ht="15.75">
      <c r="A157" s="16"/>
      <c r="B157" s="29" t="s">
        <v>203</v>
      </c>
      <c r="C157" s="34" t="s">
        <v>8</v>
      </c>
      <c r="D157" s="24">
        <f>D150*2.05+D153*1.05+D152*1.05</f>
        <v>235.39999999999998</v>
      </c>
      <c r="E157" s="24">
        <v>0</v>
      </c>
      <c r="F157" s="15">
        <f t="shared" si="13"/>
        <v>0</v>
      </c>
      <c r="G157" s="24"/>
      <c r="H157" s="15">
        <f t="shared" si="16"/>
        <v>0</v>
      </c>
      <c r="I157" s="24">
        <v>0</v>
      </c>
      <c r="J157" s="15">
        <f t="shared" si="14"/>
        <v>0</v>
      </c>
      <c r="K157" s="15">
        <f t="shared" si="15"/>
        <v>0</v>
      </c>
    </row>
    <row r="158" spans="1:11" ht="15.75">
      <c r="A158" s="16"/>
      <c r="B158" s="29" t="s">
        <v>204</v>
      </c>
      <c r="C158" s="34" t="s">
        <v>8</v>
      </c>
      <c r="D158" s="24">
        <f>D151*2.05+D152*1.05+D155*1.05</f>
        <v>259.89999999999998</v>
      </c>
      <c r="E158" s="24">
        <v>0</v>
      </c>
      <c r="F158" s="15">
        <f t="shared" si="13"/>
        <v>0</v>
      </c>
      <c r="G158" s="24"/>
      <c r="H158" s="15">
        <f t="shared" si="16"/>
        <v>0</v>
      </c>
      <c r="I158" s="24">
        <v>0</v>
      </c>
      <c r="J158" s="15">
        <f t="shared" si="14"/>
        <v>0</v>
      </c>
      <c r="K158" s="15">
        <f t="shared" si="15"/>
        <v>0</v>
      </c>
    </row>
    <row r="159" spans="1:11" ht="30">
      <c r="A159" s="16"/>
      <c r="B159" s="20" t="s">
        <v>64</v>
      </c>
      <c r="C159" s="34" t="s">
        <v>8</v>
      </c>
      <c r="D159" s="24">
        <f>D149+D150+D151+D152</f>
        <v>386</v>
      </c>
      <c r="E159" s="24">
        <v>0</v>
      </c>
      <c r="F159" s="15">
        <f t="shared" si="13"/>
        <v>0</v>
      </c>
      <c r="G159" s="24"/>
      <c r="H159" s="15">
        <f t="shared" si="16"/>
        <v>0</v>
      </c>
      <c r="I159" s="24">
        <v>0</v>
      </c>
      <c r="J159" s="15">
        <f t="shared" si="14"/>
        <v>0</v>
      </c>
      <c r="K159" s="15">
        <f t="shared" si="15"/>
        <v>0</v>
      </c>
    </row>
    <row r="160" spans="1:11" ht="30">
      <c r="A160" s="16"/>
      <c r="B160" s="30" t="s">
        <v>65</v>
      </c>
      <c r="C160" s="34" t="s">
        <v>8</v>
      </c>
      <c r="D160" s="24">
        <f>D153+D154+D155</f>
        <v>69</v>
      </c>
      <c r="E160" s="24">
        <v>0</v>
      </c>
      <c r="F160" s="15">
        <f t="shared" si="13"/>
        <v>0</v>
      </c>
      <c r="G160" s="24"/>
      <c r="H160" s="15">
        <f t="shared" si="16"/>
        <v>0</v>
      </c>
      <c r="I160" s="24">
        <v>0</v>
      </c>
      <c r="J160" s="15">
        <f t="shared" si="14"/>
        <v>0</v>
      </c>
      <c r="K160" s="15">
        <f t="shared" si="15"/>
        <v>0</v>
      </c>
    </row>
    <row r="161" spans="1:12" ht="15.75">
      <c r="A161" s="16"/>
      <c r="B161" s="30" t="s">
        <v>148</v>
      </c>
      <c r="C161" s="34" t="s">
        <v>8</v>
      </c>
      <c r="D161" s="24">
        <f>D149+D150+D151+D152</f>
        <v>386</v>
      </c>
      <c r="E161" s="24">
        <v>0</v>
      </c>
      <c r="F161" s="15">
        <f t="shared" si="13"/>
        <v>0</v>
      </c>
      <c r="G161" s="24"/>
      <c r="H161" s="15">
        <f t="shared" si="16"/>
        <v>0</v>
      </c>
      <c r="I161" s="24">
        <v>0</v>
      </c>
      <c r="J161" s="15">
        <f t="shared" si="14"/>
        <v>0</v>
      </c>
      <c r="K161" s="15">
        <f t="shared" si="15"/>
        <v>0</v>
      </c>
    </row>
    <row r="162" spans="1:12" ht="15.75">
      <c r="A162" s="16"/>
      <c r="B162" s="30" t="s">
        <v>35</v>
      </c>
      <c r="C162" s="34" t="s">
        <v>10</v>
      </c>
      <c r="D162" s="24">
        <f>(D149+D150+D151+D152+D153+D154+D155)/3.5</f>
        <v>130</v>
      </c>
      <c r="E162" s="24">
        <v>0</v>
      </c>
      <c r="F162" s="15">
        <f t="shared" si="13"/>
        <v>0</v>
      </c>
      <c r="G162" s="24"/>
      <c r="H162" s="15">
        <f t="shared" si="16"/>
        <v>0</v>
      </c>
      <c r="I162" s="24">
        <v>0</v>
      </c>
      <c r="J162" s="15">
        <f t="shared" si="14"/>
        <v>0</v>
      </c>
      <c r="K162" s="15">
        <f t="shared" si="15"/>
        <v>0</v>
      </c>
    </row>
    <row r="163" spans="1:12" ht="15.75">
      <c r="A163" s="16"/>
      <c r="B163" s="30" t="s">
        <v>11</v>
      </c>
      <c r="C163" s="34" t="s">
        <v>12</v>
      </c>
      <c r="D163" s="24">
        <f>(D149+D150+D151+D152+D153)*0.02</f>
        <v>7.98</v>
      </c>
      <c r="E163" s="24">
        <v>0</v>
      </c>
      <c r="F163" s="15">
        <f t="shared" si="13"/>
        <v>0</v>
      </c>
      <c r="G163" s="24"/>
      <c r="H163" s="15">
        <f t="shared" si="16"/>
        <v>0</v>
      </c>
      <c r="I163" s="24">
        <v>0</v>
      </c>
      <c r="J163" s="15">
        <f t="shared" si="14"/>
        <v>0</v>
      </c>
      <c r="K163" s="15">
        <f t="shared" si="15"/>
        <v>0</v>
      </c>
    </row>
    <row r="164" spans="1:12" ht="15.75">
      <c r="A164" s="16"/>
      <c r="B164" s="117" t="s">
        <v>67</v>
      </c>
      <c r="C164" s="34"/>
      <c r="D164" s="24"/>
      <c r="E164" s="24"/>
      <c r="F164" s="15">
        <f t="shared" si="13"/>
        <v>0</v>
      </c>
      <c r="G164" s="24"/>
      <c r="H164" s="15">
        <f t="shared" si="16"/>
        <v>0</v>
      </c>
      <c r="I164" s="24"/>
      <c r="J164" s="15">
        <f t="shared" si="14"/>
        <v>0</v>
      </c>
      <c r="K164" s="15">
        <f t="shared" si="15"/>
        <v>0</v>
      </c>
    </row>
    <row r="165" spans="1:12">
      <c r="A165" s="16">
        <v>1</v>
      </c>
      <c r="B165" s="51" t="s">
        <v>68</v>
      </c>
      <c r="C165" s="34" t="s">
        <v>8</v>
      </c>
      <c r="D165" s="24">
        <f>291+273+326+356+369+369</f>
        <v>1984</v>
      </c>
      <c r="E165" s="15"/>
      <c r="F165" s="15">
        <f t="shared" si="13"/>
        <v>0</v>
      </c>
      <c r="G165" s="15">
        <v>0</v>
      </c>
      <c r="H165" s="15">
        <f t="shared" si="16"/>
        <v>0</v>
      </c>
      <c r="I165" s="15"/>
      <c r="J165" s="15">
        <f t="shared" si="14"/>
        <v>0</v>
      </c>
      <c r="K165" s="15">
        <f t="shared" si="15"/>
        <v>0</v>
      </c>
    </row>
    <row r="166" spans="1:12" ht="30">
      <c r="A166" s="16"/>
      <c r="B166" s="6" t="s">
        <v>201</v>
      </c>
      <c r="C166" s="10" t="s">
        <v>8</v>
      </c>
      <c r="D166" s="31">
        <f>D165</f>
        <v>1984</v>
      </c>
      <c r="E166" s="15">
        <v>0</v>
      </c>
      <c r="F166" s="15">
        <f t="shared" si="13"/>
        <v>0</v>
      </c>
      <c r="G166" s="15"/>
      <c r="H166" s="15">
        <f t="shared" si="16"/>
        <v>0</v>
      </c>
      <c r="I166" s="15">
        <v>0</v>
      </c>
      <c r="J166" s="15">
        <f t="shared" si="14"/>
        <v>0</v>
      </c>
      <c r="K166" s="15">
        <f t="shared" si="15"/>
        <v>0</v>
      </c>
    </row>
    <row r="167" spans="1:12" ht="39" customHeight="1">
      <c r="A167" s="16"/>
      <c r="B167" s="22" t="s">
        <v>302</v>
      </c>
      <c r="C167" s="10" t="s">
        <v>8</v>
      </c>
      <c r="D167" s="31">
        <f>D166*0.97</f>
        <v>1924.48</v>
      </c>
      <c r="E167" s="15">
        <v>0</v>
      </c>
      <c r="F167" s="15">
        <f t="shared" si="13"/>
        <v>0</v>
      </c>
      <c r="G167" s="15"/>
      <c r="H167" s="15">
        <f t="shared" si="16"/>
        <v>0</v>
      </c>
      <c r="I167" s="15">
        <v>0</v>
      </c>
      <c r="J167" s="15">
        <f t="shared" si="14"/>
        <v>0</v>
      </c>
      <c r="K167" s="15">
        <f t="shared" si="15"/>
        <v>0</v>
      </c>
    </row>
    <row r="168" spans="1:12" ht="18" customHeight="1">
      <c r="A168" s="16"/>
      <c r="B168" s="26" t="s">
        <v>11</v>
      </c>
      <c r="C168" s="34" t="s">
        <v>12</v>
      </c>
      <c r="D168" s="24">
        <f>D165*0.02</f>
        <v>39.68</v>
      </c>
      <c r="E168" s="15">
        <v>0</v>
      </c>
      <c r="F168" s="15">
        <f t="shared" si="13"/>
        <v>0</v>
      </c>
      <c r="G168" s="24"/>
      <c r="H168" s="15">
        <f t="shared" si="16"/>
        <v>0</v>
      </c>
      <c r="I168" s="24"/>
      <c r="J168" s="15">
        <f t="shared" si="14"/>
        <v>0</v>
      </c>
      <c r="K168" s="15">
        <f t="shared" si="15"/>
        <v>0</v>
      </c>
    </row>
    <row r="169" spans="1:12" ht="24" customHeight="1">
      <c r="A169" s="16">
        <v>2</v>
      </c>
      <c r="B169" s="51" t="s">
        <v>213</v>
      </c>
      <c r="C169" s="34" t="s">
        <v>8</v>
      </c>
      <c r="D169" s="24">
        <v>38</v>
      </c>
      <c r="E169" s="15"/>
      <c r="F169" s="15">
        <f t="shared" si="13"/>
        <v>0</v>
      </c>
      <c r="G169" s="15">
        <v>0</v>
      </c>
      <c r="H169" s="15">
        <f t="shared" si="16"/>
        <v>0</v>
      </c>
      <c r="I169" s="15"/>
      <c r="J169" s="15">
        <f t="shared" si="14"/>
        <v>0</v>
      </c>
      <c r="K169" s="15">
        <f t="shared" si="15"/>
        <v>0</v>
      </c>
    </row>
    <row r="170" spans="1:12" ht="18.75" customHeight="1">
      <c r="A170" s="16"/>
      <c r="B170" s="6" t="s">
        <v>207</v>
      </c>
      <c r="C170" s="10" t="s">
        <v>8</v>
      </c>
      <c r="D170" s="15">
        <f>D169</f>
        <v>38</v>
      </c>
      <c r="E170" s="15">
        <v>0</v>
      </c>
      <c r="F170" s="15">
        <f t="shared" si="13"/>
        <v>0</v>
      </c>
      <c r="G170" s="15"/>
      <c r="H170" s="15">
        <f t="shared" si="16"/>
        <v>0</v>
      </c>
      <c r="I170" s="15">
        <v>0</v>
      </c>
      <c r="J170" s="15">
        <f t="shared" si="14"/>
        <v>0</v>
      </c>
      <c r="K170" s="15">
        <f t="shared" si="15"/>
        <v>0</v>
      </c>
    </row>
    <row r="171" spans="1:12" ht="18.75" customHeight="1">
      <c r="A171" s="16"/>
      <c r="B171" s="22" t="s">
        <v>205</v>
      </c>
      <c r="C171" s="10" t="s">
        <v>8</v>
      </c>
      <c r="D171" s="31">
        <f>D170*1.1</f>
        <v>41.800000000000004</v>
      </c>
      <c r="E171" s="15">
        <v>0</v>
      </c>
      <c r="F171" s="15">
        <f t="shared" si="13"/>
        <v>0</v>
      </c>
      <c r="G171" s="15"/>
      <c r="H171" s="15">
        <f t="shared" si="16"/>
        <v>0</v>
      </c>
      <c r="I171" s="15">
        <v>0</v>
      </c>
      <c r="J171" s="15">
        <f t="shared" si="14"/>
        <v>0</v>
      </c>
      <c r="K171" s="15">
        <f t="shared" si="15"/>
        <v>0</v>
      </c>
    </row>
    <row r="172" spans="1:12" ht="17.25" customHeight="1">
      <c r="A172" s="16"/>
      <c r="B172" s="22" t="s">
        <v>206</v>
      </c>
      <c r="C172" s="10" t="s">
        <v>9</v>
      </c>
      <c r="D172" s="31">
        <v>2</v>
      </c>
      <c r="E172" s="15">
        <v>0</v>
      </c>
      <c r="F172" s="15">
        <f t="shared" si="13"/>
        <v>0</v>
      </c>
      <c r="G172" s="15"/>
      <c r="H172" s="15">
        <f t="shared" si="16"/>
        <v>0</v>
      </c>
      <c r="I172" s="15">
        <v>0</v>
      </c>
      <c r="J172" s="15">
        <f t="shared" si="14"/>
        <v>0</v>
      </c>
      <c r="K172" s="15">
        <f t="shared" si="15"/>
        <v>0</v>
      </c>
    </row>
    <row r="173" spans="1:12" ht="19.5" customHeight="1">
      <c r="A173" s="16"/>
      <c r="B173" s="19" t="s">
        <v>11</v>
      </c>
      <c r="C173" s="34" t="s">
        <v>12</v>
      </c>
      <c r="D173" s="24">
        <f>D169*0.02</f>
        <v>0.76</v>
      </c>
      <c r="E173" s="15">
        <v>0</v>
      </c>
      <c r="F173" s="15">
        <f t="shared" si="13"/>
        <v>0</v>
      </c>
      <c r="G173" s="24"/>
      <c r="H173" s="15">
        <f t="shared" si="16"/>
        <v>0</v>
      </c>
      <c r="I173" s="24"/>
      <c r="J173" s="15">
        <f t="shared" si="14"/>
        <v>0</v>
      </c>
      <c r="K173" s="15">
        <f t="shared" si="15"/>
        <v>0</v>
      </c>
    </row>
    <row r="174" spans="1:12" ht="20.25" customHeight="1">
      <c r="A174" s="16"/>
      <c r="B174" s="116" t="s">
        <v>241</v>
      </c>
      <c r="C174" s="52"/>
      <c r="D174" s="24"/>
      <c r="E174" s="24"/>
      <c r="F174" s="15">
        <f t="shared" si="13"/>
        <v>0</v>
      </c>
      <c r="G174" s="24"/>
      <c r="H174" s="15">
        <f t="shared" si="16"/>
        <v>0</v>
      </c>
      <c r="I174" s="24"/>
      <c r="J174" s="15">
        <f t="shared" si="14"/>
        <v>0</v>
      </c>
      <c r="K174" s="15">
        <f t="shared" si="15"/>
        <v>0</v>
      </c>
    </row>
    <row r="175" spans="1:12" ht="93.75" customHeight="1">
      <c r="A175" s="16">
        <v>1</v>
      </c>
      <c r="B175" s="18" t="s">
        <v>304</v>
      </c>
      <c r="C175" s="34" t="s">
        <v>8</v>
      </c>
      <c r="D175" s="24">
        <f>D176+D177+D178+D179+D180</f>
        <v>188.05499999999998</v>
      </c>
      <c r="E175" s="24"/>
      <c r="F175" s="15">
        <f t="shared" si="13"/>
        <v>0</v>
      </c>
      <c r="G175" s="24">
        <v>0</v>
      </c>
      <c r="H175" s="15">
        <f t="shared" si="16"/>
        <v>0</v>
      </c>
      <c r="I175" s="24"/>
      <c r="J175" s="15">
        <f t="shared" si="14"/>
        <v>0</v>
      </c>
      <c r="K175" s="15">
        <f t="shared" si="15"/>
        <v>0</v>
      </c>
      <c r="L175" s="37"/>
    </row>
    <row r="176" spans="1:12" ht="22.5" customHeight="1">
      <c r="A176" s="16"/>
      <c r="B176" s="22" t="s">
        <v>389</v>
      </c>
      <c r="C176" s="34" t="s">
        <v>8</v>
      </c>
      <c r="D176" s="24">
        <f>0.8*2.1*6</f>
        <v>10.080000000000002</v>
      </c>
      <c r="E176" s="24">
        <v>0</v>
      </c>
      <c r="F176" s="15">
        <f t="shared" si="13"/>
        <v>0</v>
      </c>
      <c r="G176" s="24"/>
      <c r="H176" s="15">
        <f t="shared" si="16"/>
        <v>0</v>
      </c>
      <c r="I176" s="24">
        <v>0</v>
      </c>
      <c r="J176" s="15">
        <f t="shared" si="14"/>
        <v>0</v>
      </c>
      <c r="K176" s="15">
        <f t="shared" si="15"/>
        <v>0</v>
      </c>
      <c r="L176" s="37"/>
    </row>
    <row r="177" spans="1:12" ht="30">
      <c r="A177" s="16"/>
      <c r="B177" s="22" t="s">
        <v>214</v>
      </c>
      <c r="C177" s="34" t="s">
        <v>8</v>
      </c>
      <c r="D177" s="24">
        <f>0.9*2.1*21</f>
        <v>39.690000000000005</v>
      </c>
      <c r="E177" s="24">
        <v>0</v>
      </c>
      <c r="F177" s="15">
        <f t="shared" si="13"/>
        <v>0</v>
      </c>
      <c r="G177" s="24"/>
      <c r="H177" s="15">
        <f t="shared" si="16"/>
        <v>0</v>
      </c>
      <c r="I177" s="24">
        <v>0</v>
      </c>
      <c r="J177" s="15">
        <f t="shared" si="14"/>
        <v>0</v>
      </c>
      <c r="K177" s="15">
        <f t="shared" si="15"/>
        <v>0</v>
      </c>
      <c r="L177" s="37"/>
    </row>
    <row r="178" spans="1:12" ht="30">
      <c r="A178" s="16"/>
      <c r="B178" s="22" t="s">
        <v>215</v>
      </c>
      <c r="C178" s="34" t="s">
        <v>8</v>
      </c>
      <c r="D178" s="24">
        <f>0.95*2.1*65</f>
        <v>129.67499999999998</v>
      </c>
      <c r="E178" s="24">
        <v>0</v>
      </c>
      <c r="F178" s="15">
        <f t="shared" si="13"/>
        <v>0</v>
      </c>
      <c r="G178" s="24"/>
      <c r="H178" s="15">
        <f t="shared" si="16"/>
        <v>0</v>
      </c>
      <c r="I178" s="24">
        <v>0</v>
      </c>
      <c r="J178" s="15">
        <f t="shared" si="14"/>
        <v>0</v>
      </c>
      <c r="K178" s="15">
        <f t="shared" si="15"/>
        <v>0</v>
      </c>
      <c r="L178" s="37"/>
    </row>
    <row r="179" spans="1:12" ht="30">
      <c r="A179" s="16"/>
      <c r="B179" s="22" t="s">
        <v>216</v>
      </c>
      <c r="C179" s="34" t="s">
        <v>8</v>
      </c>
      <c r="D179" s="24">
        <f>1.2*2.1*2</f>
        <v>5.04</v>
      </c>
      <c r="E179" s="24">
        <v>0</v>
      </c>
      <c r="F179" s="15">
        <f t="shared" si="13"/>
        <v>0</v>
      </c>
      <c r="G179" s="24"/>
      <c r="H179" s="15">
        <f t="shared" si="16"/>
        <v>0</v>
      </c>
      <c r="I179" s="24">
        <v>0</v>
      </c>
      <c r="J179" s="15">
        <f t="shared" si="14"/>
        <v>0</v>
      </c>
      <c r="K179" s="15">
        <f t="shared" si="15"/>
        <v>0</v>
      </c>
      <c r="L179" s="37"/>
    </row>
    <row r="180" spans="1:12" ht="30">
      <c r="A180" s="16"/>
      <c r="B180" s="22" t="s">
        <v>217</v>
      </c>
      <c r="C180" s="34" t="s">
        <v>8</v>
      </c>
      <c r="D180" s="24">
        <f>1.7*2.1</f>
        <v>3.57</v>
      </c>
      <c r="E180" s="24">
        <v>0</v>
      </c>
      <c r="F180" s="15">
        <f t="shared" si="13"/>
        <v>0</v>
      </c>
      <c r="G180" s="24"/>
      <c r="H180" s="15">
        <f t="shared" si="16"/>
        <v>0</v>
      </c>
      <c r="I180" s="24">
        <v>0</v>
      </c>
      <c r="J180" s="15">
        <f t="shared" si="14"/>
        <v>0</v>
      </c>
      <c r="K180" s="15">
        <f t="shared" si="15"/>
        <v>0</v>
      </c>
      <c r="L180" s="37"/>
    </row>
    <row r="181" spans="1:12" ht="54.75" customHeight="1">
      <c r="A181" s="16">
        <v>2</v>
      </c>
      <c r="B181" s="18" t="s">
        <v>393</v>
      </c>
      <c r="C181" s="34" t="s">
        <v>8</v>
      </c>
      <c r="D181" s="24">
        <f>1.1*2.2*4</f>
        <v>9.6800000000000015</v>
      </c>
      <c r="E181" s="24">
        <v>0</v>
      </c>
      <c r="F181" s="15">
        <f t="shared" si="13"/>
        <v>0</v>
      </c>
      <c r="G181" s="24">
        <v>0</v>
      </c>
      <c r="H181" s="15">
        <f t="shared" si="16"/>
        <v>0</v>
      </c>
      <c r="I181" s="24">
        <v>0</v>
      </c>
      <c r="J181" s="15">
        <f t="shared" si="14"/>
        <v>0</v>
      </c>
      <c r="K181" s="15">
        <f t="shared" si="15"/>
        <v>0</v>
      </c>
      <c r="L181" s="37"/>
    </row>
    <row r="182" spans="1:12" ht="30.75" customHeight="1">
      <c r="A182" s="16">
        <v>3</v>
      </c>
      <c r="B182" s="22" t="s">
        <v>394</v>
      </c>
      <c r="C182" s="34" t="s">
        <v>9</v>
      </c>
      <c r="D182" s="24">
        <v>1</v>
      </c>
      <c r="E182" s="24">
        <v>0</v>
      </c>
      <c r="F182" s="15">
        <f t="shared" si="13"/>
        <v>0</v>
      </c>
      <c r="G182" s="24">
        <v>0</v>
      </c>
      <c r="H182" s="15">
        <f t="shared" si="16"/>
        <v>0</v>
      </c>
      <c r="I182" s="24">
        <v>0</v>
      </c>
      <c r="J182" s="15">
        <f t="shared" si="14"/>
        <v>0</v>
      </c>
      <c r="K182" s="15">
        <f t="shared" si="15"/>
        <v>0</v>
      </c>
      <c r="L182" s="37">
        <v>25000</v>
      </c>
    </row>
    <row r="183" spans="1:12" ht="75" customHeight="1">
      <c r="A183" s="16">
        <v>4</v>
      </c>
      <c r="B183" s="18" t="s">
        <v>390</v>
      </c>
      <c r="C183" s="34" t="s">
        <v>8</v>
      </c>
      <c r="D183" s="24">
        <f>D184+D185</f>
        <v>4.41</v>
      </c>
      <c r="E183" s="24"/>
      <c r="F183" s="15">
        <f t="shared" si="13"/>
        <v>0</v>
      </c>
      <c r="G183" s="24">
        <v>0</v>
      </c>
      <c r="H183" s="15">
        <f t="shared" si="16"/>
        <v>0</v>
      </c>
      <c r="I183" s="24"/>
      <c r="J183" s="15">
        <f t="shared" si="14"/>
        <v>0</v>
      </c>
      <c r="K183" s="15">
        <f t="shared" si="15"/>
        <v>0</v>
      </c>
      <c r="L183" s="37"/>
    </row>
    <row r="184" spans="1:12" ht="35.25" customHeight="1">
      <c r="A184" s="16"/>
      <c r="B184" s="22" t="s">
        <v>220</v>
      </c>
      <c r="C184" s="34" t="s">
        <v>8</v>
      </c>
      <c r="D184" s="24">
        <f>1.2*2.1</f>
        <v>2.52</v>
      </c>
      <c r="E184" s="24">
        <v>0</v>
      </c>
      <c r="F184" s="15">
        <f t="shared" si="13"/>
        <v>0</v>
      </c>
      <c r="G184" s="24"/>
      <c r="H184" s="15">
        <f t="shared" si="16"/>
        <v>0</v>
      </c>
      <c r="I184" s="24">
        <v>0</v>
      </c>
      <c r="J184" s="15">
        <f t="shared" si="14"/>
        <v>0</v>
      </c>
      <c r="K184" s="15">
        <f t="shared" si="15"/>
        <v>0</v>
      </c>
      <c r="L184" s="37"/>
    </row>
    <row r="185" spans="1:12" ht="30" customHeight="1">
      <c r="A185" s="16"/>
      <c r="B185" s="22" t="s">
        <v>221</v>
      </c>
      <c r="C185" s="34" t="s">
        <v>8</v>
      </c>
      <c r="D185" s="24">
        <f>0.9*2.1</f>
        <v>1.8900000000000001</v>
      </c>
      <c r="E185" s="24">
        <v>0</v>
      </c>
      <c r="F185" s="15">
        <f t="shared" si="13"/>
        <v>0</v>
      </c>
      <c r="G185" s="24"/>
      <c r="H185" s="15">
        <f t="shared" si="16"/>
        <v>0</v>
      </c>
      <c r="I185" s="24">
        <v>0</v>
      </c>
      <c r="J185" s="15">
        <f t="shared" si="14"/>
        <v>0</v>
      </c>
      <c r="K185" s="15">
        <f t="shared" si="15"/>
        <v>0</v>
      </c>
      <c r="L185" s="37"/>
    </row>
    <row r="186" spans="1:12" ht="21" customHeight="1">
      <c r="A186" s="16">
        <v>5</v>
      </c>
      <c r="B186" s="18" t="s">
        <v>218</v>
      </c>
      <c r="C186" s="34" t="s">
        <v>8</v>
      </c>
      <c r="D186" s="24">
        <f>D188+D187</f>
        <v>4.41</v>
      </c>
      <c r="E186" s="24"/>
      <c r="F186" s="15">
        <f t="shared" si="13"/>
        <v>0</v>
      </c>
      <c r="G186" s="24">
        <v>0</v>
      </c>
      <c r="H186" s="15">
        <f t="shared" si="16"/>
        <v>0</v>
      </c>
      <c r="I186" s="24"/>
      <c r="J186" s="15">
        <f t="shared" si="14"/>
        <v>0</v>
      </c>
      <c r="K186" s="15">
        <f t="shared" si="15"/>
        <v>0</v>
      </c>
      <c r="L186" s="37"/>
    </row>
    <row r="187" spans="1:12" ht="30">
      <c r="A187" s="16"/>
      <c r="B187" s="22" t="s">
        <v>222</v>
      </c>
      <c r="C187" s="34" t="s">
        <v>8</v>
      </c>
      <c r="D187" s="24">
        <f>1.2*2.1</f>
        <v>2.52</v>
      </c>
      <c r="E187" s="24">
        <v>0</v>
      </c>
      <c r="F187" s="15">
        <f t="shared" si="13"/>
        <v>0</v>
      </c>
      <c r="G187" s="24"/>
      <c r="H187" s="15">
        <f t="shared" si="16"/>
        <v>0</v>
      </c>
      <c r="I187" s="24">
        <v>0</v>
      </c>
      <c r="J187" s="15">
        <f t="shared" si="14"/>
        <v>0</v>
      </c>
      <c r="K187" s="15">
        <f t="shared" si="15"/>
        <v>0</v>
      </c>
      <c r="L187" s="37"/>
    </row>
    <row r="188" spans="1:12" ht="30" customHeight="1">
      <c r="A188" s="16"/>
      <c r="B188" s="22" t="s">
        <v>223</v>
      </c>
      <c r="C188" s="34" t="s">
        <v>8</v>
      </c>
      <c r="D188" s="24">
        <f>0.9*2.1</f>
        <v>1.8900000000000001</v>
      </c>
      <c r="E188" s="24">
        <v>0</v>
      </c>
      <c r="F188" s="15">
        <f t="shared" si="13"/>
        <v>0</v>
      </c>
      <c r="G188" s="24"/>
      <c r="H188" s="15">
        <f t="shared" si="16"/>
        <v>0</v>
      </c>
      <c r="I188" s="24">
        <v>0</v>
      </c>
      <c r="J188" s="15">
        <f t="shared" si="14"/>
        <v>0</v>
      </c>
      <c r="K188" s="15">
        <f t="shared" si="15"/>
        <v>0</v>
      </c>
      <c r="L188" s="37"/>
    </row>
    <row r="189" spans="1:12" ht="19.5" customHeight="1">
      <c r="A189" s="16">
        <v>6</v>
      </c>
      <c r="B189" s="18" t="s">
        <v>219</v>
      </c>
      <c r="C189" s="34" t="s">
        <v>8</v>
      </c>
      <c r="D189" s="24">
        <f>D190</f>
        <v>27.72</v>
      </c>
      <c r="E189" s="24"/>
      <c r="F189" s="15">
        <f t="shared" si="13"/>
        <v>0</v>
      </c>
      <c r="G189" s="24">
        <v>0</v>
      </c>
      <c r="H189" s="15">
        <f t="shared" si="16"/>
        <v>0</v>
      </c>
      <c r="I189" s="24"/>
      <c r="J189" s="15">
        <f t="shared" si="14"/>
        <v>0</v>
      </c>
      <c r="K189" s="15">
        <f t="shared" si="15"/>
        <v>0</v>
      </c>
      <c r="L189" s="37"/>
    </row>
    <row r="190" spans="1:12" ht="45.75" customHeight="1">
      <c r="A190" s="16"/>
      <c r="B190" s="22" t="s">
        <v>224</v>
      </c>
      <c r="C190" s="34" t="s">
        <v>8</v>
      </c>
      <c r="D190" s="24">
        <f>1.2*2.1*11</f>
        <v>27.72</v>
      </c>
      <c r="E190" s="24">
        <v>0</v>
      </c>
      <c r="F190" s="15">
        <f t="shared" si="13"/>
        <v>0</v>
      </c>
      <c r="G190" s="24"/>
      <c r="H190" s="15">
        <f t="shared" si="16"/>
        <v>0</v>
      </c>
      <c r="I190" s="24">
        <v>0</v>
      </c>
      <c r="J190" s="15">
        <f t="shared" si="14"/>
        <v>0</v>
      </c>
      <c r="K190" s="15">
        <f t="shared" si="15"/>
        <v>0</v>
      </c>
      <c r="L190" s="37"/>
    </row>
    <row r="191" spans="1:12" ht="23.25" customHeight="1">
      <c r="A191" s="16"/>
      <c r="B191" s="116" t="s">
        <v>240</v>
      </c>
      <c r="C191" s="34"/>
      <c r="D191" s="24"/>
      <c r="E191" s="24"/>
      <c r="F191" s="15">
        <f t="shared" si="13"/>
        <v>0</v>
      </c>
      <c r="G191" s="24"/>
      <c r="H191" s="15">
        <f t="shared" si="16"/>
        <v>0</v>
      </c>
      <c r="I191" s="24"/>
      <c r="J191" s="15">
        <f t="shared" si="14"/>
        <v>0</v>
      </c>
      <c r="K191" s="15">
        <f t="shared" si="15"/>
        <v>0</v>
      </c>
      <c r="L191" s="37"/>
    </row>
    <row r="192" spans="1:12" ht="19.5" customHeight="1">
      <c r="A192" s="16">
        <v>1</v>
      </c>
      <c r="B192" s="18" t="s">
        <v>238</v>
      </c>
      <c r="C192" s="123" t="s">
        <v>8</v>
      </c>
      <c r="D192" s="24">
        <v>78</v>
      </c>
      <c r="E192" s="24"/>
      <c r="F192" s="15">
        <f t="shared" si="13"/>
        <v>0</v>
      </c>
      <c r="G192" s="24">
        <v>0</v>
      </c>
      <c r="H192" s="15">
        <f t="shared" si="16"/>
        <v>0</v>
      </c>
      <c r="I192" s="24"/>
      <c r="J192" s="15">
        <f t="shared" si="14"/>
        <v>0</v>
      </c>
      <c r="K192" s="15">
        <f t="shared" si="15"/>
        <v>0</v>
      </c>
    </row>
    <row r="193" spans="1:11" ht="39.75" customHeight="1">
      <c r="A193" s="16"/>
      <c r="B193" s="22" t="s">
        <v>239</v>
      </c>
      <c r="C193" s="34" t="s">
        <v>8</v>
      </c>
      <c r="D193" s="24">
        <f>D192</f>
        <v>78</v>
      </c>
      <c r="E193" s="24">
        <v>0</v>
      </c>
      <c r="F193" s="15">
        <f t="shared" si="13"/>
        <v>0</v>
      </c>
      <c r="G193" s="24"/>
      <c r="H193" s="15">
        <f t="shared" si="16"/>
        <v>0</v>
      </c>
      <c r="I193" s="24">
        <v>0</v>
      </c>
      <c r="J193" s="15">
        <f t="shared" si="14"/>
        <v>0</v>
      </c>
      <c r="K193" s="15">
        <f t="shared" si="15"/>
        <v>0</v>
      </c>
    </row>
    <row r="194" spans="1:11" ht="22.5" customHeight="1">
      <c r="A194" s="16">
        <v>2</v>
      </c>
      <c r="B194" s="18" t="s">
        <v>242</v>
      </c>
      <c r="C194" s="34" t="s">
        <v>8</v>
      </c>
      <c r="D194" s="24">
        <v>40</v>
      </c>
      <c r="E194" s="24"/>
      <c r="F194" s="15">
        <f t="shared" si="13"/>
        <v>0</v>
      </c>
      <c r="G194" s="24">
        <v>0</v>
      </c>
      <c r="H194" s="15">
        <f t="shared" si="16"/>
        <v>0</v>
      </c>
      <c r="I194" s="24"/>
      <c r="J194" s="15">
        <f t="shared" si="14"/>
        <v>0</v>
      </c>
      <c r="K194" s="15">
        <f t="shared" si="15"/>
        <v>0</v>
      </c>
    </row>
    <row r="195" spans="1:11" ht="30">
      <c r="A195" s="16"/>
      <c r="B195" s="22" t="s">
        <v>301</v>
      </c>
      <c r="C195" s="34" t="s">
        <v>8</v>
      </c>
      <c r="D195" s="24">
        <f>D194</f>
        <v>40</v>
      </c>
      <c r="E195" s="24">
        <v>0</v>
      </c>
      <c r="F195" s="15">
        <f t="shared" si="13"/>
        <v>0</v>
      </c>
      <c r="G195" s="24"/>
      <c r="H195" s="15">
        <f t="shared" si="16"/>
        <v>0</v>
      </c>
      <c r="I195" s="24">
        <v>0</v>
      </c>
      <c r="J195" s="15">
        <f t="shared" si="14"/>
        <v>0</v>
      </c>
      <c r="K195" s="15">
        <f t="shared" si="15"/>
        <v>0</v>
      </c>
    </row>
    <row r="196" spans="1:11">
      <c r="A196" s="16">
        <v>3</v>
      </c>
      <c r="B196" s="18" t="s">
        <v>73</v>
      </c>
      <c r="C196" s="34" t="s">
        <v>8</v>
      </c>
      <c r="D196" s="24">
        <v>0.8</v>
      </c>
      <c r="E196" s="24">
        <v>0</v>
      </c>
      <c r="F196" s="15">
        <f t="shared" si="13"/>
        <v>0</v>
      </c>
      <c r="G196" s="24">
        <v>0</v>
      </c>
      <c r="H196" s="15">
        <f t="shared" si="16"/>
        <v>0</v>
      </c>
      <c r="I196" s="24">
        <v>0</v>
      </c>
      <c r="J196" s="15">
        <f t="shared" si="14"/>
        <v>0</v>
      </c>
      <c r="K196" s="15">
        <f t="shared" si="15"/>
        <v>0</v>
      </c>
    </row>
    <row r="197" spans="1:11" ht="27.75" customHeight="1">
      <c r="A197" s="16"/>
      <c r="B197" s="57" t="s">
        <v>74</v>
      </c>
      <c r="C197" s="34"/>
      <c r="D197" s="24"/>
      <c r="E197" s="24"/>
      <c r="F197" s="15">
        <f t="shared" si="13"/>
        <v>0</v>
      </c>
      <c r="G197" s="24"/>
      <c r="H197" s="15">
        <f t="shared" si="16"/>
        <v>0</v>
      </c>
      <c r="I197" s="24"/>
      <c r="J197" s="15">
        <f t="shared" si="14"/>
        <v>0</v>
      </c>
      <c r="K197" s="15">
        <f t="shared" si="15"/>
        <v>0</v>
      </c>
    </row>
    <row r="198" spans="1:11" ht="34.5" customHeight="1">
      <c r="A198" s="16">
        <v>1</v>
      </c>
      <c r="B198" s="18" t="s">
        <v>243</v>
      </c>
      <c r="C198" s="34" t="s">
        <v>8</v>
      </c>
      <c r="D198" s="24">
        <f>6412+215+195+190</f>
        <v>7012</v>
      </c>
      <c r="E198" s="24"/>
      <c r="F198" s="15">
        <f t="shared" si="13"/>
        <v>0</v>
      </c>
      <c r="G198" s="24">
        <v>0</v>
      </c>
      <c r="H198" s="15">
        <f t="shared" si="16"/>
        <v>0</v>
      </c>
      <c r="I198" s="24"/>
      <c r="J198" s="15">
        <f t="shared" si="14"/>
        <v>0</v>
      </c>
      <c r="K198" s="15">
        <f t="shared" si="15"/>
        <v>0</v>
      </c>
    </row>
    <row r="199" spans="1:11">
      <c r="A199" s="16"/>
      <c r="B199" s="19" t="s">
        <v>22</v>
      </c>
      <c r="C199" s="34" t="s">
        <v>13</v>
      </c>
      <c r="D199" s="24">
        <f>D198*0.8</f>
        <v>5609.6</v>
      </c>
      <c r="E199" s="24">
        <v>0</v>
      </c>
      <c r="F199" s="15">
        <f t="shared" si="13"/>
        <v>0</v>
      </c>
      <c r="G199" s="24"/>
      <c r="H199" s="15">
        <f t="shared" si="16"/>
        <v>0</v>
      </c>
      <c r="I199" s="24">
        <v>0</v>
      </c>
      <c r="J199" s="15">
        <f t="shared" si="14"/>
        <v>0</v>
      </c>
      <c r="K199" s="15">
        <f t="shared" si="15"/>
        <v>0</v>
      </c>
    </row>
    <row r="200" spans="1:11">
      <c r="A200" s="16"/>
      <c r="B200" s="19" t="s">
        <v>307</v>
      </c>
      <c r="C200" s="34" t="s">
        <v>13</v>
      </c>
      <c r="D200" s="24">
        <f>335*0.35</f>
        <v>117.24999999999999</v>
      </c>
      <c r="E200" s="24">
        <v>0</v>
      </c>
      <c r="F200" s="15">
        <f t="shared" si="13"/>
        <v>0</v>
      </c>
      <c r="G200" s="24"/>
      <c r="H200" s="15">
        <f t="shared" si="16"/>
        <v>0</v>
      </c>
      <c r="I200" s="24">
        <v>0</v>
      </c>
      <c r="J200" s="15">
        <f t="shared" si="14"/>
        <v>0</v>
      </c>
      <c r="K200" s="15">
        <f t="shared" si="15"/>
        <v>0</v>
      </c>
    </row>
    <row r="201" spans="1:11">
      <c r="A201" s="16"/>
      <c r="B201" s="19" t="s">
        <v>305</v>
      </c>
      <c r="C201" s="34" t="s">
        <v>13</v>
      </c>
      <c r="D201" s="24">
        <f>6412*0.35</f>
        <v>2244.1999999999998</v>
      </c>
      <c r="E201" s="24">
        <v>0</v>
      </c>
      <c r="F201" s="15">
        <f t="shared" si="13"/>
        <v>0</v>
      </c>
      <c r="G201" s="24"/>
      <c r="H201" s="15">
        <f t="shared" si="16"/>
        <v>0</v>
      </c>
      <c r="I201" s="24">
        <v>0</v>
      </c>
      <c r="J201" s="15">
        <f t="shared" si="14"/>
        <v>0</v>
      </c>
      <c r="K201" s="15">
        <f t="shared" si="15"/>
        <v>0</v>
      </c>
    </row>
    <row r="202" spans="1:11">
      <c r="A202" s="16"/>
      <c r="B202" s="19" t="s">
        <v>306</v>
      </c>
      <c r="C202" s="34" t="s">
        <v>13</v>
      </c>
      <c r="D202" s="24">
        <f>195*0.4</f>
        <v>78</v>
      </c>
      <c r="E202" s="24">
        <v>0</v>
      </c>
      <c r="F202" s="15">
        <f t="shared" ref="F202:F239" si="17">E202*D202</f>
        <v>0</v>
      </c>
      <c r="G202" s="24"/>
      <c r="H202" s="15">
        <f t="shared" si="16"/>
        <v>0</v>
      </c>
      <c r="I202" s="24">
        <v>0</v>
      </c>
      <c r="J202" s="15">
        <f t="shared" ref="J202:J239" si="18">I202*D202</f>
        <v>0</v>
      </c>
      <c r="K202" s="15">
        <f t="shared" ref="K202:K239" si="19">J202+H202+F202</f>
        <v>0</v>
      </c>
    </row>
    <row r="203" spans="1:11">
      <c r="A203" s="16"/>
      <c r="B203" s="19" t="s">
        <v>72</v>
      </c>
      <c r="C203" s="34" t="s">
        <v>13</v>
      </c>
      <c r="D203" s="24">
        <f>D198*0.05</f>
        <v>350.6</v>
      </c>
      <c r="E203" s="24">
        <v>0</v>
      </c>
      <c r="F203" s="15">
        <f t="shared" si="17"/>
        <v>0</v>
      </c>
      <c r="G203" s="24"/>
      <c r="H203" s="15">
        <f t="shared" ref="H203:H240" si="20">G203*D203</f>
        <v>0</v>
      </c>
      <c r="I203" s="24">
        <v>0</v>
      </c>
      <c r="J203" s="15">
        <f t="shared" si="18"/>
        <v>0</v>
      </c>
      <c r="K203" s="15">
        <f t="shared" si="19"/>
        <v>0</v>
      </c>
    </row>
    <row r="204" spans="1:11">
      <c r="A204" s="16"/>
      <c r="B204" s="19" t="s">
        <v>23</v>
      </c>
      <c r="C204" s="34" t="s">
        <v>8</v>
      </c>
      <c r="D204" s="24">
        <f>D198*0.009</f>
        <v>63.107999999999997</v>
      </c>
      <c r="E204" s="24">
        <v>0</v>
      </c>
      <c r="F204" s="15">
        <f t="shared" si="17"/>
        <v>0</v>
      </c>
      <c r="G204" s="24"/>
      <c r="H204" s="15">
        <f t="shared" si="20"/>
        <v>0</v>
      </c>
      <c r="I204" s="24"/>
      <c r="J204" s="15">
        <f t="shared" si="18"/>
        <v>0</v>
      </c>
      <c r="K204" s="15">
        <f t="shared" si="19"/>
        <v>0</v>
      </c>
    </row>
    <row r="205" spans="1:11">
      <c r="A205" s="16"/>
      <c r="B205" s="19" t="s">
        <v>29</v>
      </c>
      <c r="C205" s="34" t="s">
        <v>10</v>
      </c>
      <c r="D205" s="24">
        <f>D198*0.4</f>
        <v>2804.8</v>
      </c>
      <c r="E205" s="24">
        <v>0</v>
      </c>
      <c r="F205" s="15">
        <f t="shared" si="17"/>
        <v>0</v>
      </c>
      <c r="G205" s="24"/>
      <c r="H205" s="15">
        <f t="shared" si="20"/>
        <v>0</v>
      </c>
      <c r="I205" s="24">
        <v>0</v>
      </c>
      <c r="J205" s="15">
        <f t="shared" si="18"/>
        <v>0</v>
      </c>
      <c r="K205" s="15">
        <f t="shared" si="19"/>
        <v>0</v>
      </c>
    </row>
    <row r="206" spans="1:11">
      <c r="A206" s="16"/>
      <c r="B206" s="19" t="s">
        <v>30</v>
      </c>
      <c r="C206" s="34" t="s">
        <v>10</v>
      </c>
      <c r="D206" s="35">
        <f>D198*0.2</f>
        <v>1402.4</v>
      </c>
      <c r="E206" s="24">
        <v>0</v>
      </c>
      <c r="F206" s="15">
        <f t="shared" si="17"/>
        <v>0</v>
      </c>
      <c r="G206" s="24"/>
      <c r="H206" s="15">
        <f t="shared" si="20"/>
        <v>0</v>
      </c>
      <c r="I206" s="24">
        <v>0</v>
      </c>
      <c r="J206" s="15">
        <f t="shared" si="18"/>
        <v>0</v>
      </c>
      <c r="K206" s="15">
        <f t="shared" si="19"/>
        <v>0</v>
      </c>
    </row>
    <row r="207" spans="1:11">
      <c r="A207" s="16"/>
      <c r="B207" s="19" t="s">
        <v>11</v>
      </c>
      <c r="C207" s="34" t="s">
        <v>12</v>
      </c>
      <c r="D207" s="24">
        <f>D198*0.005</f>
        <v>35.06</v>
      </c>
      <c r="E207" s="24">
        <v>0</v>
      </c>
      <c r="F207" s="15">
        <f t="shared" si="17"/>
        <v>0</v>
      </c>
      <c r="G207" s="24"/>
      <c r="H207" s="15">
        <f t="shared" si="20"/>
        <v>0</v>
      </c>
      <c r="I207" s="24"/>
      <c r="J207" s="15">
        <f t="shared" si="18"/>
        <v>0</v>
      </c>
      <c r="K207" s="15">
        <f t="shared" si="19"/>
        <v>0</v>
      </c>
    </row>
    <row r="208" spans="1:11" ht="30">
      <c r="A208" s="16">
        <v>2</v>
      </c>
      <c r="B208" s="22" t="s">
        <v>300</v>
      </c>
      <c r="C208" s="34" t="s">
        <v>8</v>
      </c>
      <c r="D208" s="24">
        <v>28</v>
      </c>
      <c r="E208" s="24">
        <v>0</v>
      </c>
      <c r="F208" s="15">
        <f t="shared" si="17"/>
        <v>0</v>
      </c>
      <c r="G208" s="24">
        <v>0</v>
      </c>
      <c r="H208" s="15">
        <f t="shared" si="20"/>
        <v>0</v>
      </c>
      <c r="I208" s="24">
        <v>0</v>
      </c>
      <c r="J208" s="15">
        <f t="shared" si="18"/>
        <v>0</v>
      </c>
      <c r="K208" s="15">
        <f t="shared" si="19"/>
        <v>0</v>
      </c>
    </row>
    <row r="209" spans="1:11" ht="26.25" customHeight="1">
      <c r="A209" s="16"/>
      <c r="B209" s="57" t="s">
        <v>244</v>
      </c>
      <c r="C209" s="34"/>
      <c r="D209" s="24"/>
      <c r="E209" s="24"/>
      <c r="F209" s="15">
        <f t="shared" si="17"/>
        <v>0</v>
      </c>
      <c r="G209" s="24"/>
      <c r="H209" s="15">
        <f t="shared" si="20"/>
        <v>0</v>
      </c>
      <c r="I209" s="24"/>
      <c r="J209" s="15">
        <f t="shared" si="18"/>
        <v>0</v>
      </c>
      <c r="K209" s="15">
        <f t="shared" si="19"/>
        <v>0</v>
      </c>
    </row>
    <row r="210" spans="1:11" ht="46.5" customHeight="1">
      <c r="A210" s="16">
        <v>1</v>
      </c>
      <c r="B210" s="18" t="s">
        <v>391</v>
      </c>
      <c r="C210" s="80" t="s">
        <v>8</v>
      </c>
      <c r="D210" s="36">
        <v>112</v>
      </c>
      <c r="E210" s="36"/>
      <c r="F210" s="15">
        <f t="shared" si="17"/>
        <v>0</v>
      </c>
      <c r="G210" s="36">
        <v>0</v>
      </c>
      <c r="H210" s="15">
        <f t="shared" si="20"/>
        <v>0</v>
      </c>
      <c r="I210" s="36"/>
      <c r="J210" s="15">
        <f t="shared" si="18"/>
        <v>0</v>
      </c>
      <c r="K210" s="15">
        <f t="shared" si="19"/>
        <v>0</v>
      </c>
    </row>
    <row r="211" spans="1:11" ht="18" customHeight="1">
      <c r="A211" s="16"/>
      <c r="B211" s="22" t="s">
        <v>248</v>
      </c>
      <c r="C211" s="23" t="s">
        <v>10</v>
      </c>
      <c r="D211" s="24">
        <f>D210*1.1</f>
        <v>123.20000000000002</v>
      </c>
      <c r="E211" s="24">
        <v>0</v>
      </c>
      <c r="F211" s="15">
        <f t="shared" si="17"/>
        <v>0</v>
      </c>
      <c r="G211" s="24"/>
      <c r="H211" s="15">
        <f t="shared" si="20"/>
        <v>0</v>
      </c>
      <c r="I211" s="24">
        <v>0</v>
      </c>
      <c r="J211" s="15">
        <f t="shared" si="18"/>
        <v>0</v>
      </c>
      <c r="K211" s="15">
        <f t="shared" si="19"/>
        <v>0</v>
      </c>
    </row>
    <row r="212" spans="1:11" ht="18" customHeight="1">
      <c r="A212" s="16"/>
      <c r="B212" s="22" t="s">
        <v>245</v>
      </c>
      <c r="C212" s="23" t="s">
        <v>13</v>
      </c>
      <c r="D212" s="24">
        <f>D210*0.25</f>
        <v>28</v>
      </c>
      <c r="E212" s="24">
        <v>0</v>
      </c>
      <c r="F212" s="15">
        <f t="shared" si="17"/>
        <v>0</v>
      </c>
      <c r="G212" s="24"/>
      <c r="H212" s="15">
        <f t="shared" si="20"/>
        <v>0</v>
      </c>
      <c r="I212" s="24">
        <v>0</v>
      </c>
      <c r="J212" s="15">
        <f t="shared" si="18"/>
        <v>0</v>
      </c>
      <c r="K212" s="15">
        <f t="shared" si="19"/>
        <v>0</v>
      </c>
    </row>
    <row r="213" spans="1:11" ht="18" customHeight="1">
      <c r="A213" s="16"/>
      <c r="B213" s="22" t="s">
        <v>86</v>
      </c>
      <c r="C213" s="23" t="s">
        <v>87</v>
      </c>
      <c r="D213" s="24">
        <f>D212*0.5</f>
        <v>14</v>
      </c>
      <c r="E213" s="24">
        <v>0</v>
      </c>
      <c r="F213" s="15">
        <f t="shared" si="17"/>
        <v>0</v>
      </c>
      <c r="G213" s="24"/>
      <c r="H213" s="15">
        <f t="shared" si="20"/>
        <v>0</v>
      </c>
      <c r="I213" s="24">
        <v>0</v>
      </c>
      <c r="J213" s="15">
        <f t="shared" si="18"/>
        <v>0</v>
      </c>
      <c r="K213" s="15">
        <f t="shared" si="19"/>
        <v>0</v>
      </c>
    </row>
    <row r="214" spans="1:11" ht="18" customHeight="1">
      <c r="A214" s="16"/>
      <c r="B214" s="22" t="s">
        <v>246</v>
      </c>
      <c r="C214" s="23" t="s">
        <v>13</v>
      </c>
      <c r="D214" s="24">
        <f>D210*0.05</f>
        <v>5.6000000000000005</v>
      </c>
      <c r="E214" s="24">
        <v>0</v>
      </c>
      <c r="F214" s="15">
        <f t="shared" si="17"/>
        <v>0</v>
      </c>
      <c r="G214" s="24"/>
      <c r="H214" s="15">
        <f t="shared" si="20"/>
        <v>0</v>
      </c>
      <c r="I214" s="24">
        <v>0</v>
      </c>
      <c r="J214" s="15">
        <f t="shared" si="18"/>
        <v>0</v>
      </c>
      <c r="K214" s="15">
        <f t="shared" si="19"/>
        <v>0</v>
      </c>
    </row>
    <row r="215" spans="1:11" ht="18" customHeight="1">
      <c r="A215" s="16"/>
      <c r="B215" s="22" t="s">
        <v>88</v>
      </c>
      <c r="C215" s="23" t="s">
        <v>13</v>
      </c>
      <c r="D215" s="24">
        <f>D210*0.15</f>
        <v>16.8</v>
      </c>
      <c r="E215" s="24">
        <v>0</v>
      </c>
      <c r="F215" s="15">
        <f t="shared" si="17"/>
        <v>0</v>
      </c>
      <c r="G215" s="24"/>
      <c r="H215" s="15">
        <f t="shared" si="20"/>
        <v>0</v>
      </c>
      <c r="I215" s="24">
        <v>0</v>
      </c>
      <c r="J215" s="15">
        <f t="shared" si="18"/>
        <v>0</v>
      </c>
      <c r="K215" s="15">
        <f t="shared" si="19"/>
        <v>0</v>
      </c>
    </row>
    <row r="216" spans="1:11" ht="18" customHeight="1">
      <c r="A216" s="16"/>
      <c r="B216" s="22" t="s">
        <v>395</v>
      </c>
      <c r="C216" s="23" t="s">
        <v>95</v>
      </c>
      <c r="D216" s="24">
        <v>14</v>
      </c>
      <c r="E216" s="24">
        <v>0</v>
      </c>
      <c r="F216" s="15">
        <f t="shared" si="17"/>
        <v>0</v>
      </c>
      <c r="G216" s="24"/>
      <c r="H216" s="15">
        <f t="shared" si="20"/>
        <v>0</v>
      </c>
      <c r="I216" s="24">
        <v>0</v>
      </c>
      <c r="J216" s="15">
        <f t="shared" si="18"/>
        <v>0</v>
      </c>
      <c r="K216" s="15">
        <f t="shared" si="19"/>
        <v>0</v>
      </c>
    </row>
    <row r="217" spans="1:11" ht="18" customHeight="1">
      <c r="A217" s="16"/>
      <c r="B217" s="22" t="s">
        <v>11</v>
      </c>
      <c r="C217" s="124" t="s">
        <v>12</v>
      </c>
      <c r="D217" s="40">
        <f>D210*0.2</f>
        <v>22.400000000000002</v>
      </c>
      <c r="E217" s="24">
        <v>0</v>
      </c>
      <c r="F217" s="15">
        <f t="shared" si="17"/>
        <v>0</v>
      </c>
      <c r="G217" s="40"/>
      <c r="H217" s="15">
        <f t="shared" si="20"/>
        <v>0</v>
      </c>
      <c r="I217" s="40"/>
      <c r="J217" s="15">
        <f t="shared" si="18"/>
        <v>0</v>
      </c>
      <c r="K217" s="15">
        <f t="shared" si="19"/>
        <v>0</v>
      </c>
    </row>
    <row r="218" spans="1:11" ht="46.5" customHeight="1">
      <c r="A218" s="16">
        <v>2</v>
      </c>
      <c r="B218" s="18" t="s">
        <v>249</v>
      </c>
      <c r="C218" s="80" t="s">
        <v>8</v>
      </c>
      <c r="D218" s="36">
        <v>14</v>
      </c>
      <c r="E218" s="36"/>
      <c r="F218" s="15">
        <f t="shared" si="17"/>
        <v>0</v>
      </c>
      <c r="G218" s="36">
        <v>0</v>
      </c>
      <c r="H218" s="15">
        <f t="shared" si="20"/>
        <v>0</v>
      </c>
      <c r="I218" s="36"/>
      <c r="J218" s="15">
        <f t="shared" si="18"/>
        <v>0</v>
      </c>
      <c r="K218" s="15">
        <f t="shared" si="19"/>
        <v>0</v>
      </c>
    </row>
    <row r="219" spans="1:11" ht="18" customHeight="1">
      <c r="A219" s="16"/>
      <c r="B219" s="22" t="s">
        <v>250</v>
      </c>
      <c r="C219" s="23" t="s">
        <v>10</v>
      </c>
      <c r="D219" s="24">
        <f>D218*7</f>
        <v>98</v>
      </c>
      <c r="E219" s="24">
        <v>0</v>
      </c>
      <c r="F219" s="15">
        <f t="shared" si="17"/>
        <v>0</v>
      </c>
      <c r="G219" s="24"/>
      <c r="H219" s="15">
        <f t="shared" si="20"/>
        <v>0</v>
      </c>
      <c r="I219" s="24">
        <v>0</v>
      </c>
      <c r="J219" s="15">
        <f t="shared" si="18"/>
        <v>0</v>
      </c>
      <c r="K219" s="15">
        <f t="shared" si="19"/>
        <v>0</v>
      </c>
    </row>
    <row r="220" spans="1:11" ht="18" customHeight="1">
      <c r="A220" s="16"/>
      <c r="B220" s="22" t="s">
        <v>245</v>
      </c>
      <c r="C220" s="23" t="s">
        <v>13</v>
      </c>
      <c r="D220" s="24">
        <f>D218*0.25</f>
        <v>3.5</v>
      </c>
      <c r="E220" s="24">
        <v>0</v>
      </c>
      <c r="F220" s="15">
        <f t="shared" si="17"/>
        <v>0</v>
      </c>
      <c r="G220" s="24"/>
      <c r="H220" s="15">
        <f t="shared" si="20"/>
        <v>0</v>
      </c>
      <c r="I220" s="24">
        <v>0</v>
      </c>
      <c r="J220" s="15">
        <f t="shared" si="18"/>
        <v>0</v>
      </c>
      <c r="K220" s="15">
        <f t="shared" si="19"/>
        <v>0</v>
      </c>
    </row>
    <row r="221" spans="1:11" ht="18" customHeight="1">
      <c r="A221" s="16"/>
      <c r="B221" s="22" t="s">
        <v>86</v>
      </c>
      <c r="C221" s="23" t="s">
        <v>87</v>
      </c>
      <c r="D221" s="24">
        <f>D220*0.5</f>
        <v>1.75</v>
      </c>
      <c r="E221" s="24">
        <v>0</v>
      </c>
      <c r="F221" s="15">
        <f t="shared" si="17"/>
        <v>0</v>
      </c>
      <c r="G221" s="24"/>
      <c r="H221" s="15">
        <f t="shared" si="20"/>
        <v>0</v>
      </c>
      <c r="I221" s="24">
        <v>0</v>
      </c>
      <c r="J221" s="15">
        <f t="shared" si="18"/>
        <v>0</v>
      </c>
      <c r="K221" s="15">
        <f t="shared" si="19"/>
        <v>0</v>
      </c>
    </row>
    <row r="222" spans="1:11" ht="18" customHeight="1">
      <c r="A222" s="16"/>
      <c r="B222" s="22" t="s">
        <v>246</v>
      </c>
      <c r="C222" s="23" t="s">
        <v>13</v>
      </c>
      <c r="D222" s="24">
        <f>D218*0.05</f>
        <v>0.70000000000000007</v>
      </c>
      <c r="E222" s="24">
        <v>0</v>
      </c>
      <c r="F222" s="15">
        <f t="shared" si="17"/>
        <v>0</v>
      </c>
      <c r="G222" s="24"/>
      <c r="H222" s="15">
        <f t="shared" si="20"/>
        <v>0</v>
      </c>
      <c r="I222" s="24">
        <v>0</v>
      </c>
      <c r="J222" s="15">
        <f t="shared" si="18"/>
        <v>0</v>
      </c>
      <c r="K222" s="15">
        <f t="shared" si="19"/>
        <v>0</v>
      </c>
    </row>
    <row r="223" spans="1:11" ht="18" customHeight="1">
      <c r="A223" s="16"/>
      <c r="B223" s="22" t="s">
        <v>88</v>
      </c>
      <c r="C223" s="23" t="s">
        <v>13</v>
      </c>
      <c r="D223" s="24">
        <f>D218*0.15</f>
        <v>2.1</v>
      </c>
      <c r="E223" s="24">
        <v>0</v>
      </c>
      <c r="F223" s="15">
        <f t="shared" si="17"/>
        <v>0</v>
      </c>
      <c r="G223" s="24"/>
      <c r="H223" s="15">
        <f t="shared" si="20"/>
        <v>0</v>
      </c>
      <c r="I223" s="24">
        <v>0</v>
      </c>
      <c r="J223" s="15">
        <f t="shared" si="18"/>
        <v>0</v>
      </c>
      <c r="K223" s="15">
        <f t="shared" si="19"/>
        <v>0</v>
      </c>
    </row>
    <row r="224" spans="1:11" ht="18" customHeight="1">
      <c r="A224" s="16"/>
      <c r="B224" s="22" t="s">
        <v>247</v>
      </c>
      <c r="C224" s="23" t="s">
        <v>95</v>
      </c>
      <c r="D224" s="24">
        <v>5</v>
      </c>
      <c r="E224" s="24">
        <v>0</v>
      </c>
      <c r="F224" s="15">
        <f t="shared" si="17"/>
        <v>0</v>
      </c>
      <c r="G224" s="24"/>
      <c r="H224" s="15">
        <f t="shared" si="20"/>
        <v>0</v>
      </c>
      <c r="I224" s="24">
        <v>0</v>
      </c>
      <c r="J224" s="15">
        <f t="shared" si="18"/>
        <v>0</v>
      </c>
      <c r="K224" s="15">
        <f t="shared" si="19"/>
        <v>0</v>
      </c>
    </row>
    <row r="225" spans="1:12" ht="18" customHeight="1">
      <c r="A225" s="16"/>
      <c r="B225" s="22" t="s">
        <v>11</v>
      </c>
      <c r="C225" s="124" t="s">
        <v>12</v>
      </c>
      <c r="D225" s="40">
        <f>D218*0.2</f>
        <v>2.8000000000000003</v>
      </c>
      <c r="E225" s="24">
        <v>0</v>
      </c>
      <c r="F225" s="15">
        <f t="shared" si="17"/>
        <v>0</v>
      </c>
      <c r="G225" s="40"/>
      <c r="H225" s="15">
        <f t="shared" si="20"/>
        <v>0</v>
      </c>
      <c r="I225" s="40"/>
      <c r="J225" s="15">
        <f t="shared" si="18"/>
        <v>0</v>
      </c>
      <c r="K225" s="15">
        <f t="shared" si="19"/>
        <v>0</v>
      </c>
    </row>
    <row r="226" spans="1:12" ht="49.5" customHeight="1">
      <c r="A226" s="16">
        <v>3</v>
      </c>
      <c r="B226" s="18" t="s">
        <v>251</v>
      </c>
      <c r="C226" s="23" t="s">
        <v>8</v>
      </c>
      <c r="D226" s="24">
        <v>228</v>
      </c>
      <c r="E226" s="24"/>
      <c r="F226" s="15">
        <f t="shared" si="17"/>
        <v>0</v>
      </c>
      <c r="G226" s="24">
        <v>0</v>
      </c>
      <c r="H226" s="15">
        <f t="shared" si="20"/>
        <v>0</v>
      </c>
      <c r="I226" s="24"/>
      <c r="J226" s="15">
        <f t="shared" si="18"/>
        <v>0</v>
      </c>
      <c r="K226" s="15">
        <f t="shared" si="19"/>
        <v>0</v>
      </c>
    </row>
    <row r="227" spans="1:12" ht="28.5" customHeight="1">
      <c r="A227" s="16"/>
      <c r="B227" s="22" t="s">
        <v>252</v>
      </c>
      <c r="C227" s="23" t="s">
        <v>8</v>
      </c>
      <c r="D227" s="35">
        <f>D226*1.03</f>
        <v>234.84</v>
      </c>
      <c r="E227" s="24">
        <v>0</v>
      </c>
      <c r="F227" s="15">
        <f t="shared" si="17"/>
        <v>0</v>
      </c>
      <c r="G227" s="24"/>
      <c r="H227" s="15">
        <f t="shared" si="20"/>
        <v>0</v>
      </c>
      <c r="I227" s="24">
        <v>0</v>
      </c>
      <c r="J227" s="15">
        <f t="shared" si="18"/>
        <v>0</v>
      </c>
      <c r="K227" s="15">
        <f t="shared" si="19"/>
        <v>0</v>
      </c>
    </row>
    <row r="228" spans="1:12" ht="18" customHeight="1">
      <c r="A228" s="16"/>
      <c r="B228" s="19" t="s">
        <v>26</v>
      </c>
      <c r="C228" s="23" t="s">
        <v>13</v>
      </c>
      <c r="D228" s="24">
        <f>D226*6.5</f>
        <v>1482</v>
      </c>
      <c r="E228" s="24">
        <v>0</v>
      </c>
      <c r="F228" s="15">
        <f t="shared" si="17"/>
        <v>0</v>
      </c>
      <c r="G228" s="24"/>
      <c r="H228" s="15">
        <f t="shared" si="20"/>
        <v>0</v>
      </c>
      <c r="I228" s="24">
        <v>0</v>
      </c>
      <c r="J228" s="15">
        <f t="shared" si="18"/>
        <v>0</v>
      </c>
      <c r="K228" s="15">
        <f t="shared" si="19"/>
        <v>0</v>
      </c>
    </row>
    <row r="229" spans="1:12" ht="18" customHeight="1">
      <c r="A229" s="16"/>
      <c r="B229" s="19" t="s">
        <v>254</v>
      </c>
      <c r="C229" s="23" t="s">
        <v>13</v>
      </c>
      <c r="D229" s="24">
        <f>D226*0.04</f>
        <v>9.120000000000001</v>
      </c>
      <c r="E229" s="24">
        <v>0</v>
      </c>
      <c r="F229" s="15">
        <f t="shared" si="17"/>
        <v>0</v>
      </c>
      <c r="G229" s="24"/>
      <c r="H229" s="15">
        <f t="shared" si="20"/>
        <v>0</v>
      </c>
      <c r="I229" s="24">
        <v>0</v>
      </c>
      <c r="J229" s="15">
        <f t="shared" si="18"/>
        <v>0</v>
      </c>
      <c r="K229" s="15">
        <f t="shared" si="19"/>
        <v>0</v>
      </c>
    </row>
    <row r="230" spans="1:12" ht="18" customHeight="1">
      <c r="A230" s="16"/>
      <c r="B230" s="19" t="s">
        <v>52</v>
      </c>
      <c r="C230" s="23" t="s">
        <v>9</v>
      </c>
      <c r="D230" s="24">
        <f>D226*0.04</f>
        <v>9.120000000000001</v>
      </c>
      <c r="E230" s="24">
        <v>0</v>
      </c>
      <c r="F230" s="15">
        <f t="shared" si="17"/>
        <v>0</v>
      </c>
      <c r="G230" s="24"/>
      <c r="H230" s="15">
        <f t="shared" si="20"/>
        <v>0</v>
      </c>
      <c r="I230" s="24">
        <v>0</v>
      </c>
      <c r="J230" s="15">
        <f t="shared" si="18"/>
        <v>0</v>
      </c>
      <c r="K230" s="15">
        <f t="shared" si="19"/>
        <v>0</v>
      </c>
    </row>
    <row r="231" spans="1:12" ht="18" customHeight="1">
      <c r="A231" s="16"/>
      <c r="B231" s="19" t="s">
        <v>253</v>
      </c>
      <c r="C231" s="23" t="s">
        <v>10</v>
      </c>
      <c r="D231" s="24">
        <f>D226*1.2</f>
        <v>273.59999999999997</v>
      </c>
      <c r="E231" s="24">
        <v>0</v>
      </c>
      <c r="F231" s="15">
        <f t="shared" si="17"/>
        <v>0</v>
      </c>
      <c r="G231" s="24"/>
      <c r="H231" s="15">
        <f t="shared" si="20"/>
        <v>0</v>
      </c>
      <c r="I231" s="24">
        <v>0</v>
      </c>
      <c r="J231" s="15">
        <f t="shared" si="18"/>
        <v>0</v>
      </c>
      <c r="K231" s="15">
        <f t="shared" si="19"/>
        <v>0</v>
      </c>
    </row>
    <row r="232" spans="1:12" ht="18" customHeight="1">
      <c r="A232" s="16"/>
      <c r="B232" s="19" t="s">
        <v>11</v>
      </c>
      <c r="C232" s="23" t="s">
        <v>12</v>
      </c>
      <c r="D232" s="24">
        <f>D226*0.07</f>
        <v>15.96</v>
      </c>
      <c r="E232" s="24">
        <v>0</v>
      </c>
      <c r="F232" s="15">
        <f t="shared" si="17"/>
        <v>0</v>
      </c>
      <c r="G232" s="24"/>
      <c r="H232" s="15">
        <f t="shared" si="20"/>
        <v>0</v>
      </c>
      <c r="I232" s="24"/>
      <c r="J232" s="15">
        <f t="shared" si="18"/>
        <v>0</v>
      </c>
      <c r="K232" s="15">
        <f t="shared" si="19"/>
        <v>0</v>
      </c>
      <c r="L232" s="162"/>
    </row>
    <row r="233" spans="1:12" ht="18.75" customHeight="1">
      <c r="A233" s="16"/>
      <c r="B233" s="57" t="s">
        <v>396</v>
      </c>
      <c r="C233" s="34"/>
      <c r="D233" s="24"/>
      <c r="E233" s="24"/>
      <c r="F233" s="15">
        <f t="shared" si="17"/>
        <v>0</v>
      </c>
      <c r="G233" s="24"/>
      <c r="H233" s="15">
        <f t="shared" si="20"/>
        <v>0</v>
      </c>
      <c r="I233" s="24"/>
      <c r="J233" s="15">
        <f t="shared" si="18"/>
        <v>0</v>
      </c>
      <c r="K233" s="15">
        <f t="shared" si="19"/>
        <v>0</v>
      </c>
    </row>
    <row r="234" spans="1:12" ht="18.75" customHeight="1">
      <c r="A234" s="16">
        <v>1</v>
      </c>
      <c r="B234" s="18" t="s">
        <v>256</v>
      </c>
      <c r="C234" s="34" t="s">
        <v>8</v>
      </c>
      <c r="D234" s="24">
        <f>1.5*2.5*2+4.5*1.5+4.5*2.5</f>
        <v>25.5</v>
      </c>
      <c r="E234" s="24"/>
      <c r="F234" s="15">
        <f t="shared" si="17"/>
        <v>0</v>
      </c>
      <c r="G234" s="24">
        <v>0</v>
      </c>
      <c r="H234" s="15">
        <f t="shared" si="20"/>
        <v>0</v>
      </c>
      <c r="I234" s="24"/>
      <c r="J234" s="15">
        <f t="shared" si="18"/>
        <v>0</v>
      </c>
      <c r="K234" s="15">
        <f t="shared" si="19"/>
        <v>0</v>
      </c>
    </row>
    <row r="235" spans="1:12" ht="18.75" customHeight="1">
      <c r="A235" s="16"/>
      <c r="B235" s="22" t="s">
        <v>258</v>
      </c>
      <c r="C235" s="34" t="s">
        <v>10</v>
      </c>
      <c r="D235" s="24">
        <v>32</v>
      </c>
      <c r="E235" s="24">
        <v>0</v>
      </c>
      <c r="F235" s="15">
        <f t="shared" si="17"/>
        <v>0</v>
      </c>
      <c r="G235" s="24"/>
      <c r="H235" s="15">
        <f t="shared" si="20"/>
        <v>0</v>
      </c>
      <c r="I235" s="24">
        <v>0</v>
      </c>
      <c r="J235" s="15">
        <f t="shared" si="18"/>
        <v>0</v>
      </c>
      <c r="K235" s="15">
        <f t="shared" si="19"/>
        <v>0</v>
      </c>
    </row>
    <row r="236" spans="1:12" ht="20.25" customHeight="1">
      <c r="A236" s="16"/>
      <c r="B236" s="22" t="s">
        <v>259</v>
      </c>
      <c r="C236" s="34" t="s">
        <v>10</v>
      </c>
      <c r="D236" s="24">
        <v>12</v>
      </c>
      <c r="E236" s="24">
        <v>0</v>
      </c>
      <c r="F236" s="15">
        <f t="shared" si="17"/>
        <v>0</v>
      </c>
      <c r="G236" s="24"/>
      <c r="H236" s="15">
        <f t="shared" si="20"/>
        <v>0</v>
      </c>
      <c r="I236" s="24">
        <v>0</v>
      </c>
      <c r="J236" s="15">
        <f t="shared" si="18"/>
        <v>0</v>
      </c>
      <c r="K236" s="15">
        <f t="shared" si="19"/>
        <v>0</v>
      </c>
    </row>
    <row r="237" spans="1:12" ht="18.75" customHeight="1">
      <c r="A237" s="16"/>
      <c r="B237" s="22" t="s">
        <v>225</v>
      </c>
      <c r="C237" s="34" t="s">
        <v>13</v>
      </c>
      <c r="D237" s="24">
        <f>D234*0.2</f>
        <v>5.1000000000000005</v>
      </c>
      <c r="E237" s="24">
        <v>0</v>
      </c>
      <c r="F237" s="15">
        <f t="shared" si="17"/>
        <v>0</v>
      </c>
      <c r="G237" s="24"/>
      <c r="H237" s="15">
        <f t="shared" si="20"/>
        <v>0</v>
      </c>
      <c r="I237" s="24">
        <v>0</v>
      </c>
      <c r="J237" s="15">
        <f t="shared" si="18"/>
        <v>0</v>
      </c>
      <c r="K237" s="15">
        <f t="shared" si="19"/>
        <v>0</v>
      </c>
    </row>
    <row r="238" spans="1:12" ht="18.75" customHeight="1">
      <c r="A238" s="16"/>
      <c r="B238" s="22" t="s">
        <v>86</v>
      </c>
      <c r="C238" s="34" t="s">
        <v>87</v>
      </c>
      <c r="D238" s="24">
        <f>D237*0.3</f>
        <v>1.53</v>
      </c>
      <c r="E238" s="24">
        <v>0</v>
      </c>
      <c r="F238" s="15">
        <f t="shared" si="17"/>
        <v>0</v>
      </c>
      <c r="G238" s="24"/>
      <c r="H238" s="15">
        <f t="shared" si="20"/>
        <v>0</v>
      </c>
      <c r="I238" s="24">
        <v>0</v>
      </c>
      <c r="J238" s="15">
        <f t="shared" si="18"/>
        <v>0</v>
      </c>
      <c r="K238" s="15">
        <f t="shared" si="19"/>
        <v>0</v>
      </c>
    </row>
    <row r="239" spans="1:12" ht="18.75" customHeight="1">
      <c r="A239" s="16"/>
      <c r="B239" s="22" t="s">
        <v>88</v>
      </c>
      <c r="C239" s="34" t="s">
        <v>13</v>
      </c>
      <c r="D239" s="24">
        <v>4</v>
      </c>
      <c r="E239" s="24">
        <v>0</v>
      </c>
      <c r="F239" s="15">
        <f t="shared" si="17"/>
        <v>0</v>
      </c>
      <c r="G239" s="24"/>
      <c r="H239" s="15">
        <f t="shared" si="20"/>
        <v>0</v>
      </c>
      <c r="I239" s="24">
        <v>0</v>
      </c>
      <c r="J239" s="15">
        <f t="shared" si="18"/>
        <v>0</v>
      </c>
      <c r="K239" s="15">
        <f t="shared" si="19"/>
        <v>0</v>
      </c>
    </row>
    <row r="240" spans="1:12" ht="18.75" customHeight="1">
      <c r="A240" s="16"/>
      <c r="B240" s="22" t="s">
        <v>257</v>
      </c>
      <c r="C240" s="34" t="s">
        <v>9</v>
      </c>
      <c r="D240" s="24">
        <v>1</v>
      </c>
      <c r="E240" s="24">
        <v>0</v>
      </c>
      <c r="F240" s="15">
        <f t="shared" ref="F240:F251" si="21">E240*D240</f>
        <v>0</v>
      </c>
      <c r="G240" s="24"/>
      <c r="H240" s="15">
        <f t="shared" si="20"/>
        <v>0</v>
      </c>
      <c r="I240" s="24">
        <v>0</v>
      </c>
      <c r="J240" s="15">
        <f t="shared" ref="J240:J251" si="22">I240*D240</f>
        <v>0</v>
      </c>
      <c r="K240" s="15">
        <f t="shared" ref="K240:K251" si="23">J240+H240+F240</f>
        <v>0</v>
      </c>
    </row>
    <row r="241" spans="1:11" ht="18.75" customHeight="1">
      <c r="A241" s="16"/>
      <c r="B241" s="22" t="s">
        <v>227</v>
      </c>
      <c r="C241" s="34" t="s">
        <v>36</v>
      </c>
      <c r="D241" s="24">
        <v>5</v>
      </c>
      <c r="E241" s="24">
        <v>0</v>
      </c>
      <c r="F241" s="15">
        <f t="shared" si="21"/>
        <v>0</v>
      </c>
      <c r="G241" s="24"/>
      <c r="H241" s="15">
        <f t="shared" ref="H241:H251" si="24">G241*D241</f>
        <v>0</v>
      </c>
      <c r="I241" s="24">
        <v>0</v>
      </c>
      <c r="J241" s="15">
        <f t="shared" si="22"/>
        <v>0</v>
      </c>
      <c r="K241" s="15">
        <f t="shared" si="23"/>
        <v>0</v>
      </c>
    </row>
    <row r="242" spans="1:11" ht="18.75" customHeight="1">
      <c r="A242" s="16"/>
      <c r="B242" s="22" t="s">
        <v>75</v>
      </c>
      <c r="C242" s="34" t="s">
        <v>12</v>
      </c>
      <c r="D242" s="24">
        <f>(D241+D240)*0.75</f>
        <v>4.5</v>
      </c>
      <c r="E242" s="24">
        <v>0</v>
      </c>
      <c r="F242" s="15">
        <f t="shared" si="21"/>
        <v>0</v>
      </c>
      <c r="G242" s="24"/>
      <c r="H242" s="15">
        <f t="shared" si="24"/>
        <v>0</v>
      </c>
      <c r="I242" s="24"/>
      <c r="J242" s="15">
        <f t="shared" si="22"/>
        <v>0</v>
      </c>
      <c r="K242" s="15">
        <f t="shared" si="23"/>
        <v>0</v>
      </c>
    </row>
    <row r="243" spans="1:11" ht="18.75" customHeight="1">
      <c r="A243" s="16">
        <v>2</v>
      </c>
      <c r="B243" s="18" t="s">
        <v>260</v>
      </c>
      <c r="C243" s="34" t="s">
        <v>8</v>
      </c>
      <c r="D243" s="24">
        <f>1.5*4.5</f>
        <v>6.75</v>
      </c>
      <c r="E243" s="24"/>
      <c r="F243" s="15">
        <f t="shared" si="21"/>
        <v>0</v>
      </c>
      <c r="G243" s="24">
        <v>0</v>
      </c>
      <c r="H243" s="15">
        <f t="shared" si="24"/>
        <v>0</v>
      </c>
      <c r="I243" s="24"/>
      <c r="J243" s="15">
        <f t="shared" si="22"/>
        <v>0</v>
      </c>
      <c r="K243" s="15">
        <f t="shared" si="23"/>
        <v>0</v>
      </c>
    </row>
    <row r="244" spans="1:11" ht="18.75" customHeight="1">
      <c r="A244" s="16"/>
      <c r="B244" s="22" t="s">
        <v>89</v>
      </c>
      <c r="C244" s="10" t="s">
        <v>37</v>
      </c>
      <c r="D244" s="24">
        <f>D243*0.2</f>
        <v>1.35</v>
      </c>
      <c r="E244" s="24">
        <v>0</v>
      </c>
      <c r="F244" s="15">
        <f t="shared" si="21"/>
        <v>0</v>
      </c>
      <c r="G244" s="24"/>
      <c r="H244" s="15">
        <f t="shared" si="24"/>
        <v>0</v>
      </c>
      <c r="I244" s="24">
        <v>0</v>
      </c>
      <c r="J244" s="15">
        <f t="shared" si="22"/>
        <v>0</v>
      </c>
      <c r="K244" s="15">
        <f t="shared" si="23"/>
        <v>0</v>
      </c>
    </row>
    <row r="245" spans="1:11" ht="18.75" customHeight="1">
      <c r="A245" s="16"/>
      <c r="B245" s="22" t="s">
        <v>90</v>
      </c>
      <c r="C245" s="10" t="s">
        <v>10</v>
      </c>
      <c r="D245" s="24">
        <f>D243*4</f>
        <v>27</v>
      </c>
      <c r="E245" s="24">
        <v>0</v>
      </c>
      <c r="F245" s="15">
        <f t="shared" si="21"/>
        <v>0</v>
      </c>
      <c r="G245" s="24"/>
      <c r="H245" s="15">
        <f t="shared" si="24"/>
        <v>0</v>
      </c>
      <c r="I245" s="24">
        <v>0</v>
      </c>
      <c r="J245" s="15">
        <f t="shared" si="22"/>
        <v>0</v>
      </c>
      <c r="K245" s="15">
        <f t="shared" si="23"/>
        <v>0</v>
      </c>
    </row>
    <row r="246" spans="1:11" ht="38.25" customHeight="1">
      <c r="A246" s="16">
        <v>3</v>
      </c>
      <c r="B246" s="18" t="s">
        <v>261</v>
      </c>
      <c r="C246" s="23" t="s">
        <v>8</v>
      </c>
      <c r="D246" s="24">
        <f>4.5*1.5+7.5*2.5</f>
        <v>25.5</v>
      </c>
      <c r="E246" s="24">
        <v>0</v>
      </c>
      <c r="F246" s="15">
        <f t="shared" si="21"/>
        <v>0</v>
      </c>
      <c r="G246" s="24">
        <v>0</v>
      </c>
      <c r="H246" s="15">
        <f t="shared" si="24"/>
        <v>0</v>
      </c>
      <c r="I246" s="24">
        <v>0</v>
      </c>
      <c r="J246" s="15">
        <f t="shared" si="22"/>
        <v>0</v>
      </c>
      <c r="K246" s="15">
        <f t="shared" si="23"/>
        <v>0</v>
      </c>
    </row>
    <row r="247" spans="1:11" ht="33" customHeight="1">
      <c r="A247" s="16"/>
      <c r="B247" s="22" t="s">
        <v>262</v>
      </c>
      <c r="C247" s="23" t="s">
        <v>8</v>
      </c>
      <c r="D247" s="24">
        <v>19</v>
      </c>
      <c r="E247" s="24">
        <v>0</v>
      </c>
      <c r="F247" s="15">
        <f t="shared" si="21"/>
        <v>0</v>
      </c>
      <c r="G247" s="24">
        <v>0</v>
      </c>
      <c r="H247" s="15">
        <f t="shared" si="24"/>
        <v>0</v>
      </c>
      <c r="I247" s="24">
        <v>0</v>
      </c>
      <c r="J247" s="15">
        <f t="shared" si="22"/>
        <v>0</v>
      </c>
      <c r="K247" s="15">
        <f t="shared" si="23"/>
        <v>0</v>
      </c>
    </row>
    <row r="248" spans="1:11" ht="34.5" customHeight="1">
      <c r="A248" s="16"/>
      <c r="B248" s="22" t="s">
        <v>263</v>
      </c>
      <c r="C248" s="23" t="s">
        <v>8</v>
      </c>
      <c r="D248" s="24">
        <f>4.5*1.7</f>
        <v>7.6499999999999995</v>
      </c>
      <c r="E248" s="24">
        <v>0</v>
      </c>
      <c r="F248" s="15">
        <f t="shared" si="21"/>
        <v>0</v>
      </c>
      <c r="G248" s="24">
        <v>0</v>
      </c>
      <c r="H248" s="15">
        <f t="shared" si="24"/>
        <v>0</v>
      </c>
      <c r="I248" s="24">
        <v>0</v>
      </c>
      <c r="J248" s="15">
        <f t="shared" si="22"/>
        <v>0</v>
      </c>
      <c r="K248" s="15">
        <f t="shared" si="23"/>
        <v>0</v>
      </c>
    </row>
    <row r="249" spans="1:11" ht="32.25" customHeight="1">
      <c r="A249" s="16"/>
      <c r="B249" s="22" t="s">
        <v>264</v>
      </c>
      <c r="C249" s="23" t="s">
        <v>36</v>
      </c>
      <c r="D249" s="24">
        <f>D246*4</f>
        <v>102</v>
      </c>
      <c r="E249" s="24">
        <v>0</v>
      </c>
      <c r="F249" s="15">
        <f t="shared" si="21"/>
        <v>0</v>
      </c>
      <c r="G249" s="24"/>
      <c r="H249" s="15">
        <f t="shared" si="24"/>
        <v>0</v>
      </c>
      <c r="I249" s="24">
        <v>0</v>
      </c>
      <c r="J249" s="15">
        <f t="shared" si="22"/>
        <v>0</v>
      </c>
      <c r="K249" s="15">
        <f t="shared" si="23"/>
        <v>0</v>
      </c>
    </row>
    <row r="250" spans="1:11" ht="23.25" customHeight="1">
      <c r="A250" s="16"/>
      <c r="B250" s="22" t="s">
        <v>265</v>
      </c>
      <c r="C250" s="23" t="s">
        <v>10</v>
      </c>
      <c r="D250" s="24">
        <v>18</v>
      </c>
      <c r="E250" s="24">
        <v>0</v>
      </c>
      <c r="F250" s="15">
        <f t="shared" si="21"/>
        <v>0</v>
      </c>
      <c r="G250" s="24"/>
      <c r="H250" s="15">
        <f t="shared" si="24"/>
        <v>0</v>
      </c>
      <c r="I250" s="24">
        <v>0</v>
      </c>
      <c r="J250" s="15">
        <f t="shared" si="22"/>
        <v>0</v>
      </c>
      <c r="K250" s="15">
        <f t="shared" si="23"/>
        <v>0</v>
      </c>
    </row>
    <row r="251" spans="1:11" ht="18.75" customHeight="1">
      <c r="A251" s="16"/>
      <c r="B251" s="22" t="s">
        <v>266</v>
      </c>
      <c r="C251" s="10" t="s">
        <v>12</v>
      </c>
      <c r="D251" s="15">
        <f>(F243+F244+F245+F246)*0.001</f>
        <v>0</v>
      </c>
      <c r="E251" s="24">
        <v>0</v>
      </c>
      <c r="F251" s="15">
        <f t="shared" si="21"/>
        <v>0</v>
      </c>
      <c r="G251" s="15"/>
      <c r="H251" s="15">
        <f t="shared" si="24"/>
        <v>0</v>
      </c>
      <c r="I251" s="24">
        <v>0</v>
      </c>
      <c r="J251" s="15">
        <f t="shared" si="22"/>
        <v>0</v>
      </c>
      <c r="K251" s="15">
        <f t="shared" si="23"/>
        <v>0</v>
      </c>
    </row>
    <row r="252" spans="1:11" ht="51.75" customHeight="1">
      <c r="A252" s="16">
        <v>4</v>
      </c>
      <c r="B252" s="18" t="s">
        <v>397</v>
      </c>
      <c r="C252" s="10" t="s">
        <v>10</v>
      </c>
      <c r="D252" s="15">
        <v>4</v>
      </c>
      <c r="E252" s="24">
        <v>0</v>
      </c>
      <c r="F252" s="15">
        <f t="shared" ref="F252" si="25">E252*D252</f>
        <v>0</v>
      </c>
      <c r="G252" s="15">
        <v>0</v>
      </c>
      <c r="H252" s="15">
        <f t="shared" ref="H252" si="26">G252*D252</f>
        <v>0</v>
      </c>
      <c r="I252" s="24">
        <v>0</v>
      </c>
      <c r="J252" s="15">
        <f t="shared" ref="J252" si="27">I252*D252</f>
        <v>0</v>
      </c>
      <c r="K252" s="15">
        <f t="shared" ref="K252" si="28">J252+H252+F252</f>
        <v>0</v>
      </c>
    </row>
    <row r="253" spans="1:11" ht="15.75">
      <c r="A253" s="5"/>
      <c r="B253" s="55" t="s">
        <v>6</v>
      </c>
      <c r="C253" s="10"/>
      <c r="D253" s="15"/>
      <c r="E253" s="15"/>
      <c r="F253" s="15">
        <f>SUM(F10:F251)</f>
        <v>0</v>
      </c>
      <c r="G253" s="15"/>
      <c r="H253" s="15">
        <f>SUM(H10:H251)</f>
        <v>0</v>
      </c>
      <c r="I253" s="15"/>
      <c r="J253" s="15">
        <f>SUM(J10:J251)</f>
        <v>0</v>
      </c>
      <c r="K253" s="32">
        <f>SUM(K10:K251)</f>
        <v>0</v>
      </c>
    </row>
    <row r="254" spans="1:11" ht="15.75">
      <c r="A254" s="6"/>
      <c r="B254" s="53" t="s">
        <v>14</v>
      </c>
      <c r="C254" s="46">
        <v>0.03</v>
      </c>
      <c r="D254" s="21"/>
      <c r="E254" s="8"/>
      <c r="F254" s="21"/>
      <c r="G254" s="21"/>
      <c r="H254" s="21"/>
      <c r="I254" s="21"/>
      <c r="J254" s="8"/>
      <c r="K254" s="21">
        <f>F253*C254</f>
        <v>0</v>
      </c>
    </row>
    <row r="255" spans="1:11" ht="15.75">
      <c r="A255" s="6"/>
      <c r="B255" s="53" t="s">
        <v>6</v>
      </c>
      <c r="C255" s="47"/>
      <c r="D255" s="21"/>
      <c r="E255" s="8"/>
      <c r="F255" s="8"/>
      <c r="G255" s="21"/>
      <c r="H255" s="21"/>
      <c r="I255" s="21"/>
      <c r="J255" s="8"/>
      <c r="K255" s="21">
        <f>K253+K254</f>
        <v>0</v>
      </c>
    </row>
    <row r="256" spans="1:11" ht="15.75">
      <c r="A256" s="6"/>
      <c r="B256" s="53" t="s">
        <v>15</v>
      </c>
      <c r="C256" s="46">
        <v>7.0000000000000007E-2</v>
      </c>
      <c r="D256" s="21"/>
      <c r="E256" s="8"/>
      <c r="F256" s="8"/>
      <c r="G256" s="21"/>
      <c r="H256" s="21"/>
      <c r="I256" s="21"/>
      <c r="J256" s="8"/>
      <c r="K256" s="21">
        <f>K255*C256</f>
        <v>0</v>
      </c>
    </row>
    <row r="257" spans="1:11" ht="15.75">
      <c r="A257" s="6"/>
      <c r="B257" s="53" t="s">
        <v>6</v>
      </c>
      <c r="C257" s="47"/>
      <c r="D257" s="21"/>
      <c r="E257" s="8"/>
      <c r="F257" s="8"/>
      <c r="G257" s="21"/>
      <c r="H257" s="21"/>
      <c r="I257" s="21"/>
      <c r="J257" s="8"/>
      <c r="K257" s="21">
        <f>K256+K255</f>
        <v>0</v>
      </c>
    </row>
    <row r="258" spans="1:11" ht="15.75">
      <c r="A258" s="6"/>
      <c r="B258" s="53" t="s">
        <v>16</v>
      </c>
      <c r="C258" s="46">
        <v>7.0000000000000007E-2</v>
      </c>
      <c r="D258" s="21"/>
      <c r="E258" s="8"/>
      <c r="F258" s="8"/>
      <c r="G258" s="21"/>
      <c r="H258" s="21"/>
      <c r="I258" s="21"/>
      <c r="J258" s="8"/>
      <c r="K258" s="21">
        <f>K257*C258</f>
        <v>0</v>
      </c>
    </row>
    <row r="259" spans="1:11" ht="15.75">
      <c r="A259" s="7"/>
      <c r="B259" s="53" t="s">
        <v>6</v>
      </c>
      <c r="C259" s="47"/>
      <c r="D259" s="21"/>
      <c r="E259" s="8"/>
      <c r="F259" s="8"/>
      <c r="G259" s="21"/>
      <c r="H259" s="21"/>
      <c r="I259" s="21"/>
      <c r="J259" s="8"/>
      <c r="K259" s="21">
        <f>K258+K257</f>
        <v>0</v>
      </c>
    </row>
    <row r="260" spans="1:11" ht="15.75">
      <c r="A260" s="7"/>
      <c r="B260" s="53" t="s">
        <v>20</v>
      </c>
      <c r="C260" s="46">
        <v>0.02</v>
      </c>
      <c r="D260" s="21"/>
      <c r="E260" s="8"/>
      <c r="F260" s="8"/>
      <c r="G260" s="21"/>
      <c r="H260" s="21"/>
      <c r="I260" s="21"/>
      <c r="J260" s="8"/>
      <c r="K260" s="21">
        <f>K259*C260</f>
        <v>0</v>
      </c>
    </row>
    <row r="261" spans="1:11" ht="15.75">
      <c r="A261" s="7"/>
      <c r="B261" s="53" t="s">
        <v>24</v>
      </c>
      <c r="C261" s="46">
        <v>0.02</v>
      </c>
      <c r="D261" s="21"/>
      <c r="E261" s="8"/>
      <c r="F261" s="8"/>
      <c r="G261" s="21"/>
      <c r="H261" s="21"/>
      <c r="I261" s="21"/>
      <c r="J261" s="8"/>
      <c r="K261" s="21">
        <f>H253*C261</f>
        <v>0</v>
      </c>
    </row>
    <row r="262" spans="1:11" ht="15.75">
      <c r="A262" s="7"/>
      <c r="B262" s="53" t="s">
        <v>6</v>
      </c>
      <c r="C262" s="47"/>
      <c r="D262" s="21"/>
      <c r="E262" s="8"/>
      <c r="F262" s="8"/>
      <c r="G262" s="21"/>
      <c r="H262" s="21"/>
      <c r="I262" s="21"/>
      <c r="J262" s="8"/>
      <c r="K262" s="21">
        <f>K261+K260+K259</f>
        <v>0</v>
      </c>
    </row>
    <row r="263" spans="1:11">
      <c r="A263" s="6"/>
      <c r="B263" s="54" t="s">
        <v>17</v>
      </c>
      <c r="C263" s="46">
        <v>0.18</v>
      </c>
      <c r="D263" s="21"/>
      <c r="E263" s="8"/>
      <c r="F263" s="8"/>
      <c r="G263" s="8"/>
      <c r="H263" s="8"/>
      <c r="I263" s="8"/>
      <c r="J263" s="8"/>
      <c r="K263" s="21">
        <f>K262*0.18</f>
        <v>0</v>
      </c>
    </row>
    <row r="264" spans="1:11" ht="15.75">
      <c r="A264" s="5"/>
      <c r="B264" s="56" t="s">
        <v>18</v>
      </c>
      <c r="C264" s="10"/>
      <c r="D264" s="5"/>
      <c r="E264" s="5"/>
      <c r="F264" s="5"/>
      <c r="G264" s="5"/>
      <c r="H264" s="5"/>
      <c r="I264" s="5"/>
      <c r="J264" s="5"/>
      <c r="K264" s="32">
        <f>K263+K262</f>
        <v>0</v>
      </c>
    </row>
  </sheetData>
  <mergeCells count="13">
    <mergeCell ref="A2:K2"/>
    <mergeCell ref="J5:K5"/>
    <mergeCell ref="C5:I5"/>
    <mergeCell ref="A6:A7"/>
    <mergeCell ref="E6:F6"/>
    <mergeCell ref="B6:B7"/>
    <mergeCell ref="I6:J6"/>
    <mergeCell ref="G6:H6"/>
    <mergeCell ref="K6:K7"/>
    <mergeCell ref="C6:C7"/>
    <mergeCell ref="D6:D7"/>
    <mergeCell ref="A3:K3"/>
    <mergeCell ref="A4:K4"/>
  </mergeCells>
  <pageMargins left="0.25" right="0.25" top="0.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</sheetPr>
  <dimension ref="A1:M39"/>
  <sheetViews>
    <sheetView workbookViewId="0">
      <selection activeCell="C3" sqref="C3:C4"/>
    </sheetView>
  </sheetViews>
  <sheetFormatPr defaultRowHeight="15"/>
  <cols>
    <col min="1" max="1" width="3" customWidth="1"/>
    <col min="2" max="2" width="61.28515625" customWidth="1"/>
    <col min="11" max="11" width="10.28515625" customWidth="1"/>
  </cols>
  <sheetData>
    <row r="1" spans="1:13" ht="33.75" customHeight="1">
      <c r="A1" s="166" t="s">
        <v>100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3" ht="22.5" customHeight="1">
      <c r="A2" s="9"/>
      <c r="B2" s="38"/>
      <c r="C2" s="169" t="s">
        <v>454</v>
      </c>
      <c r="D2" s="169"/>
      <c r="E2" s="169"/>
      <c r="F2" s="169"/>
      <c r="G2" s="169"/>
      <c r="H2" s="169"/>
      <c r="I2" s="169"/>
      <c r="J2" s="167">
        <f>K39</f>
        <v>0</v>
      </c>
      <c r="K2" s="168"/>
    </row>
    <row r="3" spans="1:13" ht="27.75" customHeight="1">
      <c r="A3" s="170" t="s">
        <v>0</v>
      </c>
      <c r="B3" s="170" t="s">
        <v>1</v>
      </c>
      <c r="C3" s="170" t="s">
        <v>2</v>
      </c>
      <c r="D3" s="176" t="s">
        <v>3</v>
      </c>
      <c r="E3" s="172" t="s">
        <v>4</v>
      </c>
      <c r="F3" s="173"/>
      <c r="G3" s="172" t="s">
        <v>5</v>
      </c>
      <c r="H3" s="173"/>
      <c r="I3" s="174" t="s">
        <v>28</v>
      </c>
      <c r="J3" s="175"/>
      <c r="K3" s="170" t="s">
        <v>6</v>
      </c>
      <c r="M3" t="s">
        <v>85</v>
      </c>
    </row>
    <row r="4" spans="1:13" ht="18" customHeight="1">
      <c r="A4" s="171"/>
      <c r="B4" s="171"/>
      <c r="C4" s="171"/>
      <c r="D4" s="177"/>
      <c r="E4" s="42" t="s">
        <v>7</v>
      </c>
      <c r="F4" s="43" t="s">
        <v>85</v>
      </c>
      <c r="G4" s="42" t="s">
        <v>7</v>
      </c>
      <c r="H4" s="43" t="s">
        <v>6</v>
      </c>
      <c r="I4" s="42" t="s">
        <v>7</v>
      </c>
      <c r="J4" s="43" t="s">
        <v>6</v>
      </c>
      <c r="K4" s="171"/>
    </row>
    <row r="5" spans="1:13">
      <c r="A5" s="12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3" ht="60">
      <c r="A6" s="72">
        <v>1</v>
      </c>
      <c r="B6" s="58" t="s">
        <v>92</v>
      </c>
      <c r="C6" s="23" t="s">
        <v>9</v>
      </c>
      <c r="D6" s="28">
        <v>11</v>
      </c>
      <c r="E6" s="28">
        <v>0</v>
      </c>
      <c r="F6" s="15">
        <f t="shared" ref="F6:F27" si="0">E6*D6</f>
        <v>0</v>
      </c>
      <c r="G6" s="28">
        <v>0</v>
      </c>
      <c r="H6" s="15">
        <f t="shared" ref="H6:H27" si="1">G6*D6</f>
        <v>0</v>
      </c>
      <c r="I6" s="24">
        <v>0</v>
      </c>
      <c r="J6" s="15">
        <f t="shared" ref="J6:J27" si="2">I6*D6</f>
        <v>0</v>
      </c>
      <c r="K6" s="15">
        <f t="shared" ref="K6:K27" si="3">J6+H6+F6</f>
        <v>0</v>
      </c>
    </row>
    <row r="7" spans="1:13" ht="19.5" customHeight="1">
      <c r="A7" s="72">
        <v>2</v>
      </c>
      <c r="B7" s="22" t="s">
        <v>282</v>
      </c>
      <c r="C7" s="23" t="s">
        <v>9</v>
      </c>
      <c r="D7" s="28">
        <v>5</v>
      </c>
      <c r="E7" s="28">
        <v>0</v>
      </c>
      <c r="F7" s="15">
        <f t="shared" si="0"/>
        <v>0</v>
      </c>
      <c r="G7" s="28">
        <v>0</v>
      </c>
      <c r="H7" s="15">
        <f t="shared" si="1"/>
        <v>0</v>
      </c>
      <c r="I7" s="24">
        <v>0</v>
      </c>
      <c r="J7" s="15">
        <f t="shared" si="2"/>
        <v>0</v>
      </c>
      <c r="K7" s="15">
        <f t="shared" si="3"/>
        <v>0</v>
      </c>
    </row>
    <row r="8" spans="1:13" ht="45">
      <c r="A8" s="72">
        <v>3</v>
      </c>
      <c r="B8" s="59" t="s">
        <v>93</v>
      </c>
      <c r="C8" s="23" t="s">
        <v>10</v>
      </c>
      <c r="D8" s="28">
        <v>13400</v>
      </c>
      <c r="E8" s="28">
        <v>0</v>
      </c>
      <c r="F8" s="15">
        <f t="shared" si="0"/>
        <v>0</v>
      </c>
      <c r="G8" s="28">
        <v>0</v>
      </c>
      <c r="H8" s="15">
        <f t="shared" si="1"/>
        <v>0</v>
      </c>
      <c r="I8" s="24">
        <v>0</v>
      </c>
      <c r="J8" s="15">
        <f t="shared" si="2"/>
        <v>0</v>
      </c>
      <c r="K8" s="15">
        <f t="shared" si="3"/>
        <v>0</v>
      </c>
    </row>
    <row r="9" spans="1:13" ht="60">
      <c r="A9" s="72">
        <v>4</v>
      </c>
      <c r="B9" s="59" t="s">
        <v>94</v>
      </c>
      <c r="C9" s="23" t="s">
        <v>9</v>
      </c>
      <c r="D9" s="28">
        <v>93</v>
      </c>
      <c r="E9" s="28">
        <v>0</v>
      </c>
      <c r="F9" s="15">
        <f t="shared" si="0"/>
        <v>0</v>
      </c>
      <c r="G9" s="28">
        <v>0</v>
      </c>
      <c r="H9" s="15">
        <f t="shared" si="1"/>
        <v>0</v>
      </c>
      <c r="I9" s="24">
        <v>0</v>
      </c>
      <c r="J9" s="15">
        <f t="shared" si="2"/>
        <v>0</v>
      </c>
      <c r="K9" s="15">
        <f t="shared" si="3"/>
        <v>0</v>
      </c>
    </row>
    <row r="10" spans="1:13" ht="60">
      <c r="A10" s="72">
        <v>5</v>
      </c>
      <c r="B10" s="59" t="s">
        <v>98</v>
      </c>
      <c r="C10" s="23" t="s">
        <v>9</v>
      </c>
      <c r="D10" s="28">
        <v>13</v>
      </c>
      <c r="E10" s="28">
        <v>0</v>
      </c>
      <c r="F10" s="15">
        <f t="shared" si="0"/>
        <v>0</v>
      </c>
      <c r="G10" s="28">
        <v>0</v>
      </c>
      <c r="H10" s="15">
        <f t="shared" si="1"/>
        <v>0</v>
      </c>
      <c r="I10" s="24">
        <v>0</v>
      </c>
      <c r="J10" s="15">
        <f t="shared" si="2"/>
        <v>0</v>
      </c>
      <c r="K10" s="15">
        <f t="shared" si="3"/>
        <v>0</v>
      </c>
    </row>
    <row r="11" spans="1:13" ht="30">
      <c r="A11" s="72">
        <v>6</v>
      </c>
      <c r="B11" s="59" t="s">
        <v>283</v>
      </c>
      <c r="C11" s="23" t="s">
        <v>95</v>
      </c>
      <c r="D11" s="28">
        <v>3</v>
      </c>
      <c r="E11" s="28">
        <v>0</v>
      </c>
      <c r="F11" s="15">
        <f t="shared" si="0"/>
        <v>0</v>
      </c>
      <c r="G11" s="28">
        <v>0</v>
      </c>
      <c r="H11" s="15">
        <f t="shared" si="1"/>
        <v>0</v>
      </c>
      <c r="I11" s="24">
        <v>0</v>
      </c>
      <c r="J11" s="15">
        <f t="shared" si="2"/>
        <v>0</v>
      </c>
      <c r="K11" s="15">
        <f t="shared" si="3"/>
        <v>0</v>
      </c>
    </row>
    <row r="12" spans="1:13" ht="20.25" customHeight="1">
      <c r="A12" s="72">
        <v>7</v>
      </c>
      <c r="B12" s="59" t="s">
        <v>280</v>
      </c>
      <c r="C12" s="23" t="s">
        <v>9</v>
      </c>
      <c r="D12" s="28">
        <v>1</v>
      </c>
      <c r="E12" s="28">
        <v>0</v>
      </c>
      <c r="F12" s="15">
        <f t="shared" si="0"/>
        <v>0</v>
      </c>
      <c r="G12" s="28">
        <v>0</v>
      </c>
      <c r="H12" s="15">
        <f t="shared" si="1"/>
        <v>0</v>
      </c>
      <c r="I12" s="24">
        <v>0</v>
      </c>
      <c r="J12" s="15">
        <f t="shared" si="2"/>
        <v>0</v>
      </c>
      <c r="K12" s="15">
        <f t="shared" si="3"/>
        <v>0</v>
      </c>
    </row>
    <row r="13" spans="1:13" ht="20.25" customHeight="1">
      <c r="A13" s="72">
        <v>8</v>
      </c>
      <c r="B13" s="59" t="s">
        <v>281</v>
      </c>
      <c r="C13" s="23" t="s">
        <v>9</v>
      </c>
      <c r="D13" s="28">
        <v>1</v>
      </c>
      <c r="E13" s="28">
        <v>0</v>
      </c>
      <c r="F13" s="15">
        <f t="shared" si="0"/>
        <v>0</v>
      </c>
      <c r="G13" s="28">
        <v>0</v>
      </c>
      <c r="H13" s="15">
        <f t="shared" si="1"/>
        <v>0</v>
      </c>
      <c r="I13" s="24">
        <v>0</v>
      </c>
      <c r="J13" s="15">
        <f t="shared" si="2"/>
        <v>0</v>
      </c>
      <c r="K13" s="15">
        <f t="shared" si="3"/>
        <v>0</v>
      </c>
    </row>
    <row r="14" spans="1:13">
      <c r="A14" s="72">
        <v>9</v>
      </c>
      <c r="B14" s="59" t="s">
        <v>267</v>
      </c>
      <c r="C14" s="23" t="s">
        <v>9</v>
      </c>
      <c r="D14" s="28">
        <v>2</v>
      </c>
      <c r="E14" s="28">
        <v>0</v>
      </c>
      <c r="F14" s="15">
        <f t="shared" si="0"/>
        <v>0</v>
      </c>
      <c r="G14" s="28">
        <v>0</v>
      </c>
      <c r="H14" s="15">
        <f t="shared" si="1"/>
        <v>0</v>
      </c>
      <c r="I14" s="24">
        <v>0</v>
      </c>
      <c r="J14" s="15">
        <f t="shared" si="2"/>
        <v>0</v>
      </c>
      <c r="K14" s="15">
        <f t="shared" si="3"/>
        <v>0</v>
      </c>
    </row>
    <row r="15" spans="1:13">
      <c r="A15" s="72">
        <v>10</v>
      </c>
      <c r="B15" s="59" t="s">
        <v>99</v>
      </c>
      <c r="C15" s="23" t="s">
        <v>9</v>
      </c>
      <c r="D15" s="28">
        <v>14</v>
      </c>
      <c r="E15" s="28">
        <v>0</v>
      </c>
      <c r="F15" s="15">
        <f t="shared" si="0"/>
        <v>0</v>
      </c>
      <c r="G15" s="28">
        <v>0</v>
      </c>
      <c r="H15" s="15">
        <f t="shared" si="1"/>
        <v>0</v>
      </c>
      <c r="I15" s="24">
        <v>0</v>
      </c>
      <c r="J15" s="15">
        <f t="shared" si="2"/>
        <v>0</v>
      </c>
      <c r="K15" s="15">
        <f t="shared" si="3"/>
        <v>0</v>
      </c>
    </row>
    <row r="16" spans="1:13">
      <c r="A16" s="72">
        <v>11</v>
      </c>
      <c r="B16" s="59" t="s">
        <v>268</v>
      </c>
      <c r="C16" s="23" t="s">
        <v>9</v>
      </c>
      <c r="D16" s="28">
        <v>279</v>
      </c>
      <c r="E16" s="28">
        <v>0</v>
      </c>
      <c r="F16" s="15">
        <f t="shared" si="0"/>
        <v>0</v>
      </c>
      <c r="G16" s="28"/>
      <c r="H16" s="15">
        <f t="shared" si="1"/>
        <v>0</v>
      </c>
      <c r="I16" s="24">
        <v>0</v>
      </c>
      <c r="J16" s="15">
        <f t="shared" si="2"/>
        <v>0</v>
      </c>
      <c r="K16" s="15">
        <f t="shared" si="3"/>
        <v>0</v>
      </c>
    </row>
    <row r="17" spans="1:11">
      <c r="A17" s="72">
        <v>12</v>
      </c>
      <c r="B17" s="59" t="s">
        <v>284</v>
      </c>
      <c r="C17" s="23" t="s">
        <v>9</v>
      </c>
      <c r="D17" s="28">
        <v>80</v>
      </c>
      <c r="E17" s="28">
        <v>0</v>
      </c>
      <c r="F17" s="15">
        <f t="shared" si="0"/>
        <v>0</v>
      </c>
      <c r="G17" s="28"/>
      <c r="H17" s="15">
        <f t="shared" si="1"/>
        <v>0</v>
      </c>
      <c r="I17" s="24">
        <v>0</v>
      </c>
      <c r="J17" s="15">
        <f t="shared" si="2"/>
        <v>0</v>
      </c>
      <c r="K17" s="15">
        <f t="shared" si="3"/>
        <v>0</v>
      </c>
    </row>
    <row r="18" spans="1:11" ht="15.75">
      <c r="A18" s="72">
        <v>13</v>
      </c>
      <c r="B18" s="125" t="s">
        <v>269</v>
      </c>
      <c r="C18" s="23" t="s">
        <v>10</v>
      </c>
      <c r="D18" s="126" t="s">
        <v>286</v>
      </c>
      <c r="E18" s="28">
        <v>0</v>
      </c>
      <c r="F18" s="15">
        <f t="shared" si="0"/>
        <v>0</v>
      </c>
      <c r="G18" s="28">
        <v>0</v>
      </c>
      <c r="H18" s="15">
        <f t="shared" si="1"/>
        <v>0</v>
      </c>
      <c r="I18" s="24">
        <v>0</v>
      </c>
      <c r="J18" s="15">
        <f t="shared" si="2"/>
        <v>0</v>
      </c>
      <c r="K18" s="15">
        <f t="shared" si="3"/>
        <v>0</v>
      </c>
    </row>
    <row r="19" spans="1:11" ht="15.75">
      <c r="A19" s="72">
        <v>14</v>
      </c>
      <c r="B19" s="125" t="s">
        <v>270</v>
      </c>
      <c r="C19" s="23" t="s">
        <v>10</v>
      </c>
      <c r="D19" s="126" t="s">
        <v>273</v>
      </c>
      <c r="E19" s="28">
        <v>0</v>
      </c>
      <c r="F19" s="15">
        <f t="shared" si="0"/>
        <v>0</v>
      </c>
      <c r="G19" s="28">
        <v>0</v>
      </c>
      <c r="H19" s="15">
        <f t="shared" si="1"/>
        <v>0</v>
      </c>
      <c r="I19" s="24">
        <v>0</v>
      </c>
      <c r="J19" s="15">
        <f t="shared" si="2"/>
        <v>0</v>
      </c>
      <c r="K19" s="15">
        <f t="shared" si="3"/>
        <v>0</v>
      </c>
    </row>
    <row r="20" spans="1:11" ht="15.75">
      <c r="A20" s="72">
        <v>15</v>
      </c>
      <c r="B20" s="125" t="s">
        <v>271</v>
      </c>
      <c r="C20" s="23" t="s">
        <v>10</v>
      </c>
      <c r="D20" s="126" t="s">
        <v>278</v>
      </c>
      <c r="E20" s="28">
        <v>0</v>
      </c>
      <c r="F20" s="15">
        <f t="shared" si="0"/>
        <v>0</v>
      </c>
      <c r="G20" s="28">
        <v>0</v>
      </c>
      <c r="H20" s="15">
        <f t="shared" si="1"/>
        <v>0</v>
      </c>
      <c r="I20" s="24">
        <v>0</v>
      </c>
      <c r="J20" s="15">
        <f t="shared" si="2"/>
        <v>0</v>
      </c>
      <c r="K20" s="15">
        <f t="shared" si="3"/>
        <v>0</v>
      </c>
    </row>
    <row r="21" spans="1:11" ht="15.75">
      <c r="A21" s="72">
        <v>16</v>
      </c>
      <c r="B21" s="125" t="s">
        <v>272</v>
      </c>
      <c r="C21" s="23" t="s">
        <v>36</v>
      </c>
      <c r="D21" s="126" t="s">
        <v>273</v>
      </c>
      <c r="E21" s="28">
        <v>0</v>
      </c>
      <c r="F21" s="15">
        <f t="shared" si="0"/>
        <v>0</v>
      </c>
      <c r="G21" s="28"/>
      <c r="H21" s="15">
        <f t="shared" si="1"/>
        <v>0</v>
      </c>
      <c r="I21" s="24">
        <v>0</v>
      </c>
      <c r="J21" s="15">
        <f t="shared" si="2"/>
        <v>0</v>
      </c>
      <c r="K21" s="15">
        <f t="shared" si="3"/>
        <v>0</v>
      </c>
    </row>
    <row r="22" spans="1:11" ht="15.75">
      <c r="A22" s="72">
        <v>17</v>
      </c>
      <c r="B22" s="125" t="s">
        <v>274</v>
      </c>
      <c r="C22" s="23" t="s">
        <v>10</v>
      </c>
      <c r="D22" s="126" t="s">
        <v>287</v>
      </c>
      <c r="E22" s="28">
        <v>0</v>
      </c>
      <c r="F22" s="15">
        <f t="shared" si="0"/>
        <v>0</v>
      </c>
      <c r="G22" s="28"/>
      <c r="H22" s="15">
        <f t="shared" si="1"/>
        <v>0</v>
      </c>
      <c r="I22" s="24">
        <v>0</v>
      </c>
      <c r="J22" s="15">
        <f t="shared" si="2"/>
        <v>0</v>
      </c>
      <c r="K22" s="15">
        <f t="shared" si="3"/>
        <v>0</v>
      </c>
    </row>
    <row r="23" spans="1:11" ht="15.75">
      <c r="A23" s="72">
        <v>18</v>
      </c>
      <c r="B23" s="125" t="s">
        <v>275</v>
      </c>
      <c r="C23" s="23" t="s">
        <v>36</v>
      </c>
      <c r="D23" s="126" t="s">
        <v>276</v>
      </c>
      <c r="E23" s="28">
        <v>0</v>
      </c>
      <c r="F23" s="15">
        <f t="shared" si="0"/>
        <v>0</v>
      </c>
      <c r="G23" s="28"/>
      <c r="H23" s="15">
        <f t="shared" si="1"/>
        <v>0</v>
      </c>
      <c r="I23" s="24">
        <v>0</v>
      </c>
      <c r="J23" s="15">
        <f t="shared" si="2"/>
        <v>0</v>
      </c>
      <c r="K23" s="15">
        <f t="shared" si="3"/>
        <v>0</v>
      </c>
    </row>
    <row r="24" spans="1:11" ht="15.75">
      <c r="A24" s="72">
        <v>19</v>
      </c>
      <c r="B24" s="125" t="s">
        <v>277</v>
      </c>
      <c r="C24" s="23" t="s">
        <v>36</v>
      </c>
      <c r="D24" s="126" t="s">
        <v>278</v>
      </c>
      <c r="E24" s="28">
        <v>0</v>
      </c>
      <c r="F24" s="15">
        <f t="shared" si="0"/>
        <v>0</v>
      </c>
      <c r="G24" s="28"/>
      <c r="H24" s="15">
        <f t="shared" si="1"/>
        <v>0</v>
      </c>
      <c r="I24" s="24">
        <v>0</v>
      </c>
      <c r="J24" s="15">
        <f t="shared" si="2"/>
        <v>0</v>
      </c>
      <c r="K24" s="15">
        <f t="shared" si="3"/>
        <v>0</v>
      </c>
    </row>
    <row r="25" spans="1:11" ht="15.75">
      <c r="A25" s="72">
        <v>20</v>
      </c>
      <c r="B25" s="125" t="s">
        <v>285</v>
      </c>
      <c r="C25" s="23" t="s">
        <v>36</v>
      </c>
      <c r="D25" s="126" t="s">
        <v>279</v>
      </c>
      <c r="E25" s="28">
        <v>0</v>
      </c>
      <c r="F25" s="15">
        <f t="shared" si="0"/>
        <v>0</v>
      </c>
      <c r="G25" s="28"/>
      <c r="H25" s="15">
        <f t="shared" si="1"/>
        <v>0</v>
      </c>
      <c r="I25" s="24">
        <v>0</v>
      </c>
      <c r="J25" s="15">
        <f t="shared" si="2"/>
        <v>0</v>
      </c>
      <c r="K25" s="15">
        <f t="shared" si="3"/>
        <v>0</v>
      </c>
    </row>
    <row r="26" spans="1:11">
      <c r="A26" s="72">
        <v>21</v>
      </c>
      <c r="B26" s="22" t="s">
        <v>101</v>
      </c>
      <c r="C26" s="34" t="s">
        <v>12</v>
      </c>
      <c r="D26" s="24">
        <v>1</v>
      </c>
      <c r="E26" s="28">
        <v>0</v>
      </c>
      <c r="F26" s="15">
        <f t="shared" si="0"/>
        <v>0</v>
      </c>
      <c r="G26" s="24">
        <v>0</v>
      </c>
      <c r="H26" s="15">
        <f t="shared" si="1"/>
        <v>0</v>
      </c>
      <c r="I26" s="24">
        <v>0</v>
      </c>
      <c r="J26" s="15">
        <f t="shared" si="2"/>
        <v>0</v>
      </c>
      <c r="K26" s="15">
        <f t="shared" si="3"/>
        <v>0</v>
      </c>
    </row>
    <row r="27" spans="1:11">
      <c r="A27" s="72">
        <v>22</v>
      </c>
      <c r="B27" s="22" t="s">
        <v>75</v>
      </c>
      <c r="C27" s="34" t="s">
        <v>12</v>
      </c>
      <c r="D27" s="35">
        <f>16700*0.001</f>
        <v>16.7</v>
      </c>
      <c r="E27" s="28">
        <v>0</v>
      </c>
      <c r="F27" s="15">
        <f t="shared" si="0"/>
        <v>0</v>
      </c>
      <c r="G27" s="24"/>
      <c r="H27" s="15">
        <f t="shared" si="1"/>
        <v>0</v>
      </c>
      <c r="I27" s="24"/>
      <c r="J27" s="15">
        <f t="shared" si="2"/>
        <v>0</v>
      </c>
      <c r="K27" s="15">
        <f t="shared" si="3"/>
        <v>0</v>
      </c>
    </row>
    <row r="28" spans="1:11">
      <c r="A28" s="5"/>
      <c r="B28" s="83" t="s">
        <v>6</v>
      </c>
      <c r="C28" s="10"/>
      <c r="D28" s="15"/>
      <c r="E28" s="15"/>
      <c r="F28" s="15">
        <f>SUM(F6:F27)</f>
        <v>0</v>
      </c>
      <c r="G28" s="15"/>
      <c r="H28" s="15">
        <f>SUM(H6:H27)</f>
        <v>0</v>
      </c>
      <c r="I28" s="15"/>
      <c r="J28" s="15">
        <f>SUM(J6:J27)</f>
        <v>0</v>
      </c>
      <c r="K28" s="32">
        <f>SUM(K6:K27)</f>
        <v>0</v>
      </c>
    </row>
    <row r="29" spans="1:11" ht="15.75">
      <c r="A29" s="6"/>
      <c r="B29" s="92" t="s">
        <v>14</v>
      </c>
      <c r="C29" s="62">
        <v>0.03</v>
      </c>
      <c r="D29" s="61"/>
      <c r="E29" s="30"/>
      <c r="F29" s="30"/>
      <c r="G29" s="61"/>
      <c r="H29" s="61"/>
      <c r="I29" s="61"/>
      <c r="J29" s="30"/>
      <c r="K29" s="40">
        <f>F28*C29</f>
        <v>0</v>
      </c>
    </row>
    <row r="30" spans="1:11" ht="15.75">
      <c r="A30" s="6"/>
      <c r="B30" s="92" t="s">
        <v>6</v>
      </c>
      <c r="C30" s="80"/>
      <c r="D30" s="61"/>
      <c r="E30" s="30"/>
      <c r="F30" s="30"/>
      <c r="G30" s="61"/>
      <c r="H30" s="61"/>
      <c r="I30" s="61"/>
      <c r="J30" s="30"/>
      <c r="K30" s="40">
        <f>K29+K28</f>
        <v>0</v>
      </c>
    </row>
    <row r="31" spans="1:11" ht="15.75">
      <c r="A31" s="6"/>
      <c r="B31" s="92" t="s">
        <v>288</v>
      </c>
      <c r="C31" s="62">
        <v>7.0000000000000007E-2</v>
      </c>
      <c r="D31" s="61"/>
      <c r="E31" s="30"/>
      <c r="F31" s="30"/>
      <c r="G31" s="61"/>
      <c r="H31" s="61"/>
      <c r="I31" s="61"/>
      <c r="J31" s="30"/>
      <c r="K31" s="40">
        <f>K30*C31</f>
        <v>0</v>
      </c>
    </row>
    <row r="32" spans="1:11" ht="15.75">
      <c r="A32" s="6"/>
      <c r="B32" s="92" t="s">
        <v>6</v>
      </c>
      <c r="C32" s="80"/>
      <c r="D32" s="61"/>
      <c r="E32" s="30"/>
      <c r="F32" s="30"/>
      <c r="G32" s="61"/>
      <c r="H32" s="61"/>
      <c r="I32" s="61"/>
      <c r="J32" s="30"/>
      <c r="K32" s="40">
        <f>K31+K30</f>
        <v>0</v>
      </c>
    </row>
    <row r="33" spans="1:11" ht="15.75" customHeight="1">
      <c r="A33" s="6"/>
      <c r="B33" s="92" t="s">
        <v>114</v>
      </c>
      <c r="C33" s="62">
        <v>7.0000000000000007E-2</v>
      </c>
      <c r="D33" s="63"/>
      <c r="E33" s="25"/>
      <c r="F33" s="64"/>
      <c r="G33" s="63"/>
      <c r="H33" s="63"/>
      <c r="I33" s="63"/>
      <c r="J33" s="25"/>
      <c r="K33" s="36">
        <f>K32*C33</f>
        <v>0</v>
      </c>
    </row>
    <row r="34" spans="1:11" ht="15.75">
      <c r="A34" s="7"/>
      <c r="B34" s="92" t="s">
        <v>6</v>
      </c>
      <c r="C34" s="80"/>
      <c r="D34" s="61"/>
      <c r="E34" s="30"/>
      <c r="F34" s="30"/>
      <c r="G34" s="61" t="s">
        <v>85</v>
      </c>
      <c r="H34" s="61"/>
      <c r="I34" s="61"/>
      <c r="J34" s="30"/>
      <c r="K34" s="40">
        <f>K33+K32</f>
        <v>0</v>
      </c>
    </row>
    <row r="35" spans="1:11" ht="15.75">
      <c r="A35" s="7"/>
      <c r="B35" s="93" t="s">
        <v>20</v>
      </c>
      <c r="C35" s="62">
        <v>0.02</v>
      </c>
      <c r="D35" s="65"/>
      <c r="E35" s="66" t="s">
        <v>85</v>
      </c>
      <c r="F35" s="66"/>
      <c r="G35" s="65"/>
      <c r="H35" s="65"/>
      <c r="I35" s="65"/>
      <c r="J35" s="66"/>
      <c r="K35" s="67">
        <f>K34*C35</f>
        <v>0</v>
      </c>
    </row>
    <row r="36" spans="1:11" ht="15.75">
      <c r="A36" s="7"/>
      <c r="B36" s="94" t="s">
        <v>103</v>
      </c>
      <c r="C36" s="62">
        <v>0.02</v>
      </c>
      <c r="D36" s="68"/>
      <c r="E36" s="68"/>
      <c r="F36" s="69"/>
      <c r="G36" s="70"/>
      <c r="H36" s="70"/>
      <c r="I36" s="70"/>
      <c r="J36" s="69"/>
      <c r="K36" s="71">
        <f>H28*C36</f>
        <v>0</v>
      </c>
    </row>
    <row r="37" spans="1:11" ht="15.75">
      <c r="A37" s="7"/>
      <c r="B37" s="95" t="s">
        <v>6</v>
      </c>
      <c r="C37" s="72"/>
      <c r="D37" s="68"/>
      <c r="E37" s="68"/>
      <c r="F37" s="69"/>
      <c r="G37" s="70"/>
      <c r="H37" s="70"/>
      <c r="I37" s="70"/>
      <c r="J37" s="69"/>
      <c r="K37" s="71">
        <f>K36+K35+K34</f>
        <v>0</v>
      </c>
    </row>
    <row r="38" spans="1:11" ht="15.75">
      <c r="A38" s="6"/>
      <c r="B38" s="96" t="s">
        <v>104</v>
      </c>
      <c r="C38" s="73">
        <v>0.18</v>
      </c>
      <c r="D38" s="74"/>
      <c r="E38" s="74"/>
      <c r="F38" s="74"/>
      <c r="G38" s="74"/>
      <c r="H38" s="74"/>
      <c r="I38" s="74"/>
      <c r="J38" s="74"/>
      <c r="K38" s="75">
        <f>K37*C38</f>
        <v>0</v>
      </c>
    </row>
    <row r="39" spans="1:11" ht="15.75">
      <c r="A39" s="5"/>
      <c r="B39" s="97" t="s">
        <v>6</v>
      </c>
      <c r="C39" s="82"/>
      <c r="D39" s="76"/>
      <c r="E39" s="76"/>
      <c r="F39" s="76"/>
      <c r="G39" s="76"/>
      <c r="H39" s="76"/>
      <c r="I39" s="76"/>
      <c r="J39" s="76"/>
      <c r="K39" s="77">
        <f>K38+K37</f>
        <v>0</v>
      </c>
    </row>
  </sheetData>
  <mergeCells count="11">
    <mergeCell ref="I3:J3"/>
    <mergeCell ref="K3:K4"/>
    <mergeCell ref="A1:K1"/>
    <mergeCell ref="C2:I2"/>
    <mergeCell ref="J2:K2"/>
    <mergeCell ref="A3:A4"/>
    <mergeCell ref="B3:B4"/>
    <mergeCell ref="C3:C4"/>
    <mergeCell ref="D3:D4"/>
    <mergeCell ref="E3:F3"/>
    <mergeCell ref="G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K27"/>
  <sheetViews>
    <sheetView workbookViewId="0">
      <selection activeCell="I7" sqref="I7:I13"/>
    </sheetView>
  </sheetViews>
  <sheetFormatPr defaultRowHeight="15"/>
  <cols>
    <col min="1" max="1" width="5" customWidth="1"/>
    <col min="2" max="2" width="70" customWidth="1"/>
    <col min="11" max="11" width="13.5703125" customWidth="1"/>
  </cols>
  <sheetData>
    <row r="1" spans="1:11">
      <c r="A1" s="166" t="s">
        <v>108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8">
      <c r="A2" s="9"/>
      <c r="B2" s="38"/>
      <c r="C2" s="169" t="s">
        <v>454</v>
      </c>
      <c r="D2" s="169"/>
      <c r="E2" s="169"/>
      <c r="F2" s="169"/>
      <c r="G2" s="169"/>
      <c r="H2" s="169"/>
      <c r="I2" s="169"/>
      <c r="J2" s="167">
        <f>K27</f>
        <v>0</v>
      </c>
      <c r="K2" s="168"/>
    </row>
    <row r="3" spans="1:11" ht="22.5" customHeight="1">
      <c r="A3" s="170" t="s">
        <v>0</v>
      </c>
      <c r="B3" s="170" t="s">
        <v>1</v>
      </c>
      <c r="C3" s="170" t="s">
        <v>2</v>
      </c>
      <c r="D3" s="176" t="s">
        <v>3</v>
      </c>
      <c r="E3" s="172" t="s">
        <v>4</v>
      </c>
      <c r="F3" s="173"/>
      <c r="G3" s="172" t="s">
        <v>5</v>
      </c>
      <c r="H3" s="173"/>
      <c r="I3" s="174" t="s">
        <v>28</v>
      </c>
      <c r="J3" s="175"/>
      <c r="K3" s="170" t="s">
        <v>6</v>
      </c>
    </row>
    <row r="4" spans="1:11" ht="29.25" customHeight="1">
      <c r="A4" s="171"/>
      <c r="B4" s="171"/>
      <c r="C4" s="171"/>
      <c r="D4" s="177"/>
      <c r="E4" s="42" t="s">
        <v>7</v>
      </c>
      <c r="F4" s="43" t="s">
        <v>6</v>
      </c>
      <c r="G4" s="42" t="s">
        <v>7</v>
      </c>
      <c r="H4" s="43" t="s">
        <v>6</v>
      </c>
      <c r="I4" s="42" t="s">
        <v>7</v>
      </c>
      <c r="J4" s="43" t="s">
        <v>6</v>
      </c>
      <c r="K4" s="171"/>
    </row>
    <row r="5" spans="1:11">
      <c r="A5" s="12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>
      <c r="A6" s="16"/>
      <c r="B6" s="57" t="s">
        <v>96</v>
      </c>
      <c r="C6" s="23"/>
      <c r="D6" s="24"/>
      <c r="E6" s="24"/>
      <c r="F6" s="15"/>
      <c r="G6" s="24"/>
      <c r="H6" s="15"/>
      <c r="I6" s="24"/>
      <c r="J6" s="15"/>
      <c r="K6" s="15"/>
    </row>
    <row r="7" spans="1:11" ht="30">
      <c r="A7" s="16">
        <v>1</v>
      </c>
      <c r="B7" s="22" t="s">
        <v>110</v>
      </c>
      <c r="C7" s="23" t="s">
        <v>9</v>
      </c>
      <c r="D7" s="28">
        <v>13</v>
      </c>
      <c r="E7" s="28">
        <v>0</v>
      </c>
      <c r="F7" s="15">
        <f t="shared" ref="F7:F15" si="0">E7*D7</f>
        <v>0</v>
      </c>
      <c r="G7" s="28">
        <v>0</v>
      </c>
      <c r="H7" s="15">
        <f t="shared" ref="H7:H15" si="1">G7*D7</f>
        <v>0</v>
      </c>
      <c r="I7" s="24">
        <v>0</v>
      </c>
      <c r="J7" s="15">
        <f t="shared" ref="J7:J15" si="2">I7*D7</f>
        <v>0</v>
      </c>
      <c r="K7" s="15">
        <f t="shared" ref="K7:K15" si="3">J7+H7+F7</f>
        <v>0</v>
      </c>
    </row>
    <row r="8" spans="1:11">
      <c r="A8" s="16">
        <v>2</v>
      </c>
      <c r="B8" s="22" t="s">
        <v>290</v>
      </c>
      <c r="C8" s="23" t="s">
        <v>9</v>
      </c>
      <c r="D8" s="28">
        <v>170</v>
      </c>
      <c r="E8" s="28">
        <v>0</v>
      </c>
      <c r="F8" s="15">
        <f t="shared" si="0"/>
        <v>0</v>
      </c>
      <c r="G8" s="28">
        <v>0</v>
      </c>
      <c r="H8" s="15">
        <f t="shared" si="1"/>
        <v>0</v>
      </c>
      <c r="I8" s="24">
        <v>0</v>
      </c>
      <c r="J8" s="15">
        <f t="shared" si="2"/>
        <v>0</v>
      </c>
      <c r="K8" s="15">
        <f t="shared" si="3"/>
        <v>0</v>
      </c>
    </row>
    <row r="9" spans="1:11" ht="30">
      <c r="A9" s="16">
        <v>3</v>
      </c>
      <c r="B9" s="30" t="s">
        <v>111</v>
      </c>
      <c r="C9" s="23" t="s">
        <v>95</v>
      </c>
      <c r="D9" s="28">
        <v>2</v>
      </c>
      <c r="E9" s="28">
        <v>0</v>
      </c>
      <c r="F9" s="15">
        <f t="shared" si="0"/>
        <v>0</v>
      </c>
      <c r="G9" s="28">
        <v>0</v>
      </c>
      <c r="H9" s="15">
        <f t="shared" si="1"/>
        <v>0</v>
      </c>
      <c r="I9" s="24">
        <v>0</v>
      </c>
      <c r="J9" s="15">
        <f t="shared" si="2"/>
        <v>0</v>
      </c>
      <c r="K9" s="15">
        <f t="shared" si="3"/>
        <v>0</v>
      </c>
    </row>
    <row r="10" spans="1:11" ht="30">
      <c r="A10" s="16">
        <v>4</v>
      </c>
      <c r="B10" s="30" t="s">
        <v>112</v>
      </c>
      <c r="C10" s="23" t="s">
        <v>95</v>
      </c>
      <c r="D10" s="28">
        <v>19</v>
      </c>
      <c r="E10" s="28">
        <v>0</v>
      </c>
      <c r="F10" s="15">
        <f t="shared" si="0"/>
        <v>0</v>
      </c>
      <c r="G10" s="28">
        <v>0</v>
      </c>
      <c r="H10" s="15">
        <f t="shared" si="1"/>
        <v>0</v>
      </c>
      <c r="I10" s="24">
        <v>0</v>
      </c>
      <c r="J10" s="15">
        <f t="shared" si="2"/>
        <v>0</v>
      </c>
      <c r="K10" s="15">
        <f t="shared" si="3"/>
        <v>0</v>
      </c>
    </row>
    <row r="11" spans="1:11" ht="15.75">
      <c r="A11" s="16">
        <v>5</v>
      </c>
      <c r="B11" s="30" t="s">
        <v>291</v>
      </c>
      <c r="C11" s="23" t="s">
        <v>10</v>
      </c>
      <c r="D11" s="28">
        <v>990</v>
      </c>
      <c r="E11" s="28">
        <v>0</v>
      </c>
      <c r="F11" s="15">
        <f t="shared" si="0"/>
        <v>0</v>
      </c>
      <c r="G11" s="28">
        <v>0</v>
      </c>
      <c r="H11" s="15">
        <f t="shared" si="1"/>
        <v>0</v>
      </c>
      <c r="I11" s="24">
        <v>0</v>
      </c>
      <c r="J11" s="15">
        <f t="shared" si="2"/>
        <v>0</v>
      </c>
      <c r="K11" s="15">
        <f t="shared" si="3"/>
        <v>0</v>
      </c>
    </row>
    <row r="12" spans="1:11" ht="30">
      <c r="A12" s="16">
        <v>6</v>
      </c>
      <c r="B12" s="59" t="s">
        <v>113</v>
      </c>
      <c r="C12" s="23" t="s">
        <v>9</v>
      </c>
      <c r="D12" s="28">
        <v>1</v>
      </c>
      <c r="E12" s="28">
        <v>0</v>
      </c>
      <c r="F12" s="15">
        <f t="shared" si="0"/>
        <v>0</v>
      </c>
      <c r="G12" s="28">
        <v>0</v>
      </c>
      <c r="H12" s="15">
        <f t="shared" si="1"/>
        <v>0</v>
      </c>
      <c r="I12" s="24">
        <v>0</v>
      </c>
      <c r="J12" s="15">
        <f t="shared" si="2"/>
        <v>0</v>
      </c>
      <c r="K12" s="15">
        <f t="shared" si="3"/>
        <v>0</v>
      </c>
    </row>
    <row r="13" spans="1:11">
      <c r="A13" s="16">
        <v>7</v>
      </c>
      <c r="B13" s="59" t="s">
        <v>289</v>
      </c>
      <c r="C13" s="23" t="s">
        <v>9</v>
      </c>
      <c r="D13" s="28">
        <v>1</v>
      </c>
      <c r="E13" s="28">
        <v>0</v>
      </c>
      <c r="F13" s="15">
        <f t="shared" si="0"/>
        <v>0</v>
      </c>
      <c r="G13" s="28">
        <v>0</v>
      </c>
      <c r="H13" s="15">
        <f t="shared" si="1"/>
        <v>0</v>
      </c>
      <c r="I13" s="24">
        <v>0</v>
      </c>
      <c r="J13" s="15">
        <f t="shared" si="2"/>
        <v>0</v>
      </c>
      <c r="K13" s="15">
        <f t="shared" si="3"/>
        <v>0</v>
      </c>
    </row>
    <row r="14" spans="1:11">
      <c r="A14" s="16">
        <v>8</v>
      </c>
      <c r="B14" s="22" t="s">
        <v>101</v>
      </c>
      <c r="C14" s="34" t="s">
        <v>12</v>
      </c>
      <c r="D14" s="24">
        <v>1</v>
      </c>
      <c r="E14" s="28">
        <v>0</v>
      </c>
      <c r="F14" s="15">
        <f t="shared" si="0"/>
        <v>0</v>
      </c>
      <c r="G14" s="28"/>
      <c r="H14" s="15">
        <f t="shared" si="1"/>
        <v>0</v>
      </c>
      <c r="I14" s="60"/>
      <c r="J14" s="15">
        <f t="shared" si="2"/>
        <v>0</v>
      </c>
      <c r="K14" s="15">
        <f t="shared" si="3"/>
        <v>0</v>
      </c>
    </row>
    <row r="15" spans="1:11">
      <c r="A15" s="16">
        <v>9</v>
      </c>
      <c r="B15" s="22" t="s">
        <v>75</v>
      </c>
      <c r="C15" s="34" t="s">
        <v>12</v>
      </c>
      <c r="D15" s="28">
        <v>1</v>
      </c>
      <c r="E15" s="28">
        <v>0</v>
      </c>
      <c r="F15" s="15">
        <f t="shared" si="0"/>
        <v>0</v>
      </c>
      <c r="G15" s="28"/>
      <c r="H15" s="15">
        <f t="shared" si="1"/>
        <v>0</v>
      </c>
      <c r="I15" s="60"/>
      <c r="J15" s="15">
        <f t="shared" si="2"/>
        <v>0</v>
      </c>
      <c r="K15" s="15">
        <f t="shared" si="3"/>
        <v>0</v>
      </c>
    </row>
    <row r="16" spans="1:11" ht="17.25" customHeight="1">
      <c r="A16" s="5"/>
      <c r="B16" s="55" t="s">
        <v>6</v>
      </c>
      <c r="C16" s="10"/>
      <c r="D16" s="15"/>
      <c r="E16" s="15"/>
      <c r="F16" s="15">
        <f>SUM(F7:F15)</f>
        <v>0</v>
      </c>
      <c r="G16" s="15"/>
      <c r="H16" s="15">
        <f>SUM(H7:H15)</f>
        <v>0</v>
      </c>
      <c r="I16" s="15"/>
      <c r="J16" s="15">
        <f>SUM(J7:J15)</f>
        <v>0</v>
      </c>
      <c r="K16" s="32">
        <f>SUM(K7:K15)</f>
        <v>0</v>
      </c>
    </row>
    <row r="17" spans="1:11" ht="17.25" customHeight="1">
      <c r="A17" s="6"/>
      <c r="B17" s="92" t="s">
        <v>14</v>
      </c>
      <c r="C17" s="62">
        <v>0.03</v>
      </c>
      <c r="D17" s="61"/>
      <c r="E17" s="30"/>
      <c r="F17" s="30"/>
      <c r="G17" s="61"/>
      <c r="H17" s="61"/>
      <c r="I17" s="61"/>
      <c r="J17" s="30"/>
      <c r="K17" s="40">
        <f>F16*C17</f>
        <v>0</v>
      </c>
    </row>
    <row r="18" spans="1:11" ht="17.25" customHeight="1">
      <c r="A18" s="6"/>
      <c r="B18" s="92" t="s">
        <v>6</v>
      </c>
      <c r="C18" s="80"/>
      <c r="D18" s="61"/>
      <c r="E18" s="30"/>
      <c r="F18" s="30"/>
      <c r="G18" s="61"/>
      <c r="H18" s="61"/>
      <c r="I18" s="61"/>
      <c r="J18" s="30"/>
      <c r="K18" s="40">
        <f>K17+K16</f>
        <v>0</v>
      </c>
    </row>
    <row r="19" spans="1:11" ht="17.25" customHeight="1">
      <c r="A19" s="6"/>
      <c r="B19" s="92" t="s">
        <v>288</v>
      </c>
      <c r="C19" s="62">
        <v>7.0000000000000007E-2</v>
      </c>
      <c r="D19" s="61"/>
      <c r="E19" s="30"/>
      <c r="F19" s="30"/>
      <c r="G19" s="61"/>
      <c r="H19" s="61"/>
      <c r="I19" s="61"/>
      <c r="J19" s="30"/>
      <c r="K19" s="40">
        <f>K18*C19</f>
        <v>0</v>
      </c>
    </row>
    <row r="20" spans="1:11" ht="17.25" customHeight="1">
      <c r="A20" s="6"/>
      <c r="B20" s="92" t="s">
        <v>6</v>
      </c>
      <c r="C20" s="80"/>
      <c r="D20" s="61"/>
      <c r="E20" s="30"/>
      <c r="F20" s="30"/>
      <c r="G20" s="61"/>
      <c r="H20" s="61"/>
      <c r="I20" s="61"/>
      <c r="J20" s="30"/>
      <c r="K20" s="40">
        <f>K19+K18</f>
        <v>0</v>
      </c>
    </row>
    <row r="21" spans="1:11" ht="17.25" customHeight="1">
      <c r="A21" s="6"/>
      <c r="B21" s="92" t="s">
        <v>114</v>
      </c>
      <c r="C21" s="62">
        <v>7.0000000000000007E-2</v>
      </c>
      <c r="D21" s="63"/>
      <c r="E21" s="25"/>
      <c r="F21" s="64"/>
      <c r="G21" s="63"/>
      <c r="H21" s="63"/>
      <c r="I21" s="63"/>
      <c r="J21" s="25"/>
      <c r="K21" s="36">
        <f>K20*C21</f>
        <v>0</v>
      </c>
    </row>
    <row r="22" spans="1:11" ht="17.25" customHeight="1">
      <c r="A22" s="7"/>
      <c r="B22" s="92" t="s">
        <v>6</v>
      </c>
      <c r="C22" s="80"/>
      <c r="D22" s="61"/>
      <c r="E22" s="30"/>
      <c r="F22" s="30"/>
      <c r="G22" s="61"/>
      <c r="H22" s="61"/>
      <c r="I22" s="61"/>
      <c r="J22" s="30"/>
      <c r="K22" s="40">
        <f>K21+K20</f>
        <v>0</v>
      </c>
    </row>
    <row r="23" spans="1:11" ht="17.25" customHeight="1">
      <c r="A23" s="7"/>
      <c r="B23" s="93" t="s">
        <v>20</v>
      </c>
      <c r="C23" s="62">
        <v>0.02</v>
      </c>
      <c r="D23" s="65"/>
      <c r="E23" s="66"/>
      <c r="F23" s="66"/>
      <c r="G23" s="65"/>
      <c r="H23" s="65"/>
      <c r="I23" s="65"/>
      <c r="J23" s="66"/>
      <c r="K23" s="67">
        <f>K22*C23</f>
        <v>0</v>
      </c>
    </row>
    <row r="24" spans="1:11" ht="17.25" customHeight="1">
      <c r="A24" s="7"/>
      <c r="B24" s="94" t="s">
        <v>103</v>
      </c>
      <c r="C24" s="62">
        <v>0.02</v>
      </c>
      <c r="D24" s="68"/>
      <c r="E24" s="68"/>
      <c r="F24" s="69"/>
      <c r="G24" s="70"/>
      <c r="H24" s="70"/>
      <c r="I24" s="70"/>
      <c r="J24" s="69"/>
      <c r="K24" s="71">
        <f>H16*C24</f>
        <v>0</v>
      </c>
    </row>
    <row r="25" spans="1:11" ht="17.25" customHeight="1">
      <c r="A25" s="7"/>
      <c r="B25" s="95" t="s">
        <v>6</v>
      </c>
      <c r="C25" s="72"/>
      <c r="D25" s="68"/>
      <c r="E25" s="68"/>
      <c r="F25" s="69"/>
      <c r="G25" s="70"/>
      <c r="H25" s="70"/>
      <c r="I25" s="70"/>
      <c r="J25" s="69"/>
      <c r="K25" s="71">
        <f>K24+K23+K22</f>
        <v>0</v>
      </c>
    </row>
    <row r="26" spans="1:11" ht="17.25" customHeight="1">
      <c r="A26" s="6"/>
      <c r="B26" s="96" t="s">
        <v>104</v>
      </c>
      <c r="C26" s="73">
        <v>0.18</v>
      </c>
      <c r="D26" s="74"/>
      <c r="E26" s="74"/>
      <c r="F26" s="74"/>
      <c r="G26" s="74"/>
      <c r="H26" s="74"/>
      <c r="I26" s="74"/>
      <c r="J26" s="74"/>
      <c r="K26" s="75">
        <f>K25*C26</f>
        <v>0</v>
      </c>
    </row>
    <row r="27" spans="1:11" ht="17.25" customHeight="1">
      <c r="A27" s="5"/>
      <c r="B27" s="97" t="s">
        <v>6</v>
      </c>
      <c r="C27" s="82"/>
      <c r="D27" s="76"/>
      <c r="E27" s="76"/>
      <c r="F27" s="76"/>
      <c r="G27" s="76"/>
      <c r="H27" s="76"/>
      <c r="I27" s="76"/>
      <c r="J27" s="76"/>
      <c r="K27" s="77">
        <f>K26+K25</f>
        <v>0</v>
      </c>
    </row>
  </sheetData>
  <mergeCells count="11">
    <mergeCell ref="K3:K4"/>
    <mergeCell ref="A1:K1"/>
    <mergeCell ref="C2:I2"/>
    <mergeCell ref="J2:K2"/>
    <mergeCell ref="A3:A4"/>
    <mergeCell ref="B3:B4"/>
    <mergeCell ref="C3:C4"/>
    <mergeCell ref="D3:D4"/>
    <mergeCell ref="E3:F3"/>
    <mergeCell ref="G3:H3"/>
    <mergeCell ref="I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1C148A"/>
  </sheetPr>
  <dimension ref="A1:K44"/>
  <sheetViews>
    <sheetView workbookViewId="0">
      <selection activeCell="G30" sqref="G30"/>
    </sheetView>
  </sheetViews>
  <sheetFormatPr defaultRowHeight="15"/>
  <cols>
    <col min="1" max="1" width="3.85546875" customWidth="1"/>
    <col min="2" max="2" width="56.140625" customWidth="1"/>
    <col min="11" max="11" width="10.7109375" customWidth="1"/>
  </cols>
  <sheetData>
    <row r="1" spans="1:11">
      <c r="A1" s="166" t="s">
        <v>109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8">
      <c r="A2" s="9"/>
      <c r="B2" s="38"/>
      <c r="C2" s="169" t="s">
        <v>454</v>
      </c>
      <c r="D2" s="169"/>
      <c r="E2" s="169"/>
      <c r="F2" s="169"/>
      <c r="G2" s="169"/>
      <c r="H2" s="169"/>
      <c r="I2" s="169"/>
      <c r="J2" s="167">
        <f>K42</f>
        <v>0</v>
      </c>
      <c r="K2" s="168"/>
    </row>
    <row r="3" spans="1:11" ht="30" customHeight="1">
      <c r="A3" s="170" t="s">
        <v>0</v>
      </c>
      <c r="B3" s="170" t="s">
        <v>1</v>
      </c>
      <c r="C3" s="170" t="s">
        <v>2</v>
      </c>
      <c r="D3" s="176" t="s">
        <v>3</v>
      </c>
      <c r="E3" s="172" t="s">
        <v>4</v>
      </c>
      <c r="F3" s="173"/>
      <c r="G3" s="172" t="s">
        <v>5</v>
      </c>
      <c r="H3" s="173"/>
      <c r="I3" s="174" t="s">
        <v>28</v>
      </c>
      <c r="J3" s="175"/>
      <c r="K3" s="170" t="s">
        <v>6</v>
      </c>
    </row>
    <row r="4" spans="1:11">
      <c r="A4" s="171"/>
      <c r="B4" s="171"/>
      <c r="C4" s="171"/>
      <c r="D4" s="177"/>
      <c r="E4" s="42" t="s">
        <v>7</v>
      </c>
      <c r="F4" s="43" t="s">
        <v>6</v>
      </c>
      <c r="G4" s="42" t="s">
        <v>7</v>
      </c>
      <c r="H4" s="43" t="s">
        <v>6</v>
      </c>
      <c r="I4" s="42" t="s">
        <v>7</v>
      </c>
      <c r="J4" s="43" t="s">
        <v>6</v>
      </c>
      <c r="K4" s="171"/>
    </row>
    <row r="5" spans="1:11">
      <c r="A5" s="12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>
      <c r="A6" s="16"/>
      <c r="B6" s="86" t="s">
        <v>116</v>
      </c>
      <c r="C6" s="23"/>
      <c r="D6" s="23"/>
      <c r="E6" s="23"/>
      <c r="F6" s="15"/>
      <c r="G6" s="23"/>
      <c r="H6" s="15"/>
      <c r="I6" s="23"/>
      <c r="J6" s="15"/>
      <c r="K6" s="15"/>
    </row>
    <row r="7" spans="1:11" ht="21" customHeight="1">
      <c r="A7" s="72">
        <v>1</v>
      </c>
      <c r="B7" s="85" t="s">
        <v>136</v>
      </c>
      <c r="C7" s="23" t="s">
        <v>10</v>
      </c>
      <c r="D7" s="24">
        <v>370</v>
      </c>
      <c r="E7" s="24">
        <v>0</v>
      </c>
      <c r="F7" s="15">
        <f t="shared" ref="F7:F30" si="0">E7*D7</f>
        <v>0</v>
      </c>
      <c r="G7" s="24">
        <v>0</v>
      </c>
      <c r="H7" s="15">
        <f t="shared" ref="H7:H30" si="1">G7*D7</f>
        <v>0</v>
      </c>
      <c r="I7" s="24">
        <v>0</v>
      </c>
      <c r="J7" s="15">
        <f t="shared" ref="J7:J30" si="2">I7*D7</f>
        <v>0</v>
      </c>
      <c r="K7" s="15">
        <f t="shared" ref="K7:K30" si="3">J7+H7+F7</f>
        <v>0</v>
      </c>
    </row>
    <row r="8" spans="1:11" ht="21" customHeight="1">
      <c r="A8" s="72">
        <v>2</v>
      </c>
      <c r="B8" s="85" t="s">
        <v>137</v>
      </c>
      <c r="C8" s="23" t="s">
        <v>10</v>
      </c>
      <c r="D8" s="24">
        <v>36</v>
      </c>
      <c r="E8" s="24">
        <v>0</v>
      </c>
      <c r="F8" s="15">
        <f t="shared" si="0"/>
        <v>0</v>
      </c>
      <c r="G8" s="24">
        <v>0</v>
      </c>
      <c r="H8" s="15">
        <f t="shared" si="1"/>
        <v>0</v>
      </c>
      <c r="I8" s="24">
        <v>0</v>
      </c>
      <c r="J8" s="15">
        <f t="shared" si="2"/>
        <v>0</v>
      </c>
      <c r="K8" s="15">
        <f t="shared" si="3"/>
        <v>0</v>
      </c>
    </row>
    <row r="9" spans="1:11" ht="21" customHeight="1">
      <c r="A9" s="72">
        <v>3</v>
      </c>
      <c r="B9" s="85" t="s">
        <v>138</v>
      </c>
      <c r="C9" s="23" t="s">
        <v>10</v>
      </c>
      <c r="D9" s="24">
        <v>70</v>
      </c>
      <c r="E9" s="24">
        <v>0</v>
      </c>
      <c r="F9" s="15">
        <f t="shared" si="0"/>
        <v>0</v>
      </c>
      <c r="G9" s="24">
        <v>0</v>
      </c>
      <c r="H9" s="15">
        <f t="shared" si="1"/>
        <v>0</v>
      </c>
      <c r="I9" s="24">
        <v>0</v>
      </c>
      <c r="J9" s="15">
        <f t="shared" si="2"/>
        <v>0</v>
      </c>
      <c r="K9" s="15">
        <f t="shared" si="3"/>
        <v>0</v>
      </c>
    </row>
    <row r="10" spans="1:11" ht="21" customHeight="1">
      <c r="A10" s="72">
        <v>4</v>
      </c>
      <c r="B10" s="85" t="s">
        <v>139</v>
      </c>
      <c r="C10" s="23" t="s">
        <v>10</v>
      </c>
      <c r="D10" s="24">
        <v>15</v>
      </c>
      <c r="E10" s="24">
        <v>0</v>
      </c>
      <c r="F10" s="15">
        <f t="shared" si="0"/>
        <v>0</v>
      </c>
      <c r="G10" s="24">
        <v>0</v>
      </c>
      <c r="H10" s="15">
        <f t="shared" si="1"/>
        <v>0</v>
      </c>
      <c r="I10" s="24">
        <v>0</v>
      </c>
      <c r="J10" s="15">
        <f t="shared" si="2"/>
        <v>0</v>
      </c>
      <c r="K10" s="15">
        <f t="shared" si="3"/>
        <v>0</v>
      </c>
    </row>
    <row r="11" spans="1:11" ht="30">
      <c r="A11" s="72">
        <v>5</v>
      </c>
      <c r="B11" s="85" t="s">
        <v>140</v>
      </c>
      <c r="C11" s="23" t="s">
        <v>10</v>
      </c>
      <c r="D11" s="24">
        <v>680</v>
      </c>
      <c r="E11" s="24">
        <v>0</v>
      </c>
      <c r="F11" s="15">
        <f t="shared" si="0"/>
        <v>0</v>
      </c>
      <c r="G11" s="24">
        <v>0</v>
      </c>
      <c r="H11" s="15">
        <f t="shared" si="1"/>
        <v>0</v>
      </c>
      <c r="I11" s="24">
        <v>0</v>
      </c>
      <c r="J11" s="15">
        <f t="shared" si="2"/>
        <v>0</v>
      </c>
      <c r="K11" s="15">
        <f t="shared" si="3"/>
        <v>0</v>
      </c>
    </row>
    <row r="12" spans="1:11" ht="30">
      <c r="A12" s="72">
        <v>6</v>
      </c>
      <c r="B12" s="85" t="s">
        <v>141</v>
      </c>
      <c r="C12" s="23" t="s">
        <v>10</v>
      </c>
      <c r="D12" s="24">
        <v>15</v>
      </c>
      <c r="E12" s="24">
        <v>0</v>
      </c>
      <c r="F12" s="15">
        <f t="shared" si="0"/>
        <v>0</v>
      </c>
      <c r="G12" s="24">
        <v>0</v>
      </c>
      <c r="H12" s="15">
        <f t="shared" si="1"/>
        <v>0</v>
      </c>
      <c r="I12" s="24">
        <v>0</v>
      </c>
      <c r="J12" s="15">
        <f t="shared" si="2"/>
        <v>0</v>
      </c>
      <c r="K12" s="15">
        <f t="shared" si="3"/>
        <v>0</v>
      </c>
    </row>
    <row r="13" spans="1:11" ht="30">
      <c r="A13" s="72">
        <v>7</v>
      </c>
      <c r="B13" s="85" t="s">
        <v>142</v>
      </c>
      <c r="C13" s="23" t="s">
        <v>10</v>
      </c>
      <c r="D13" s="24">
        <v>70</v>
      </c>
      <c r="E13" s="24">
        <v>0</v>
      </c>
      <c r="F13" s="15">
        <f t="shared" si="0"/>
        <v>0</v>
      </c>
      <c r="G13" s="24">
        <v>0</v>
      </c>
      <c r="H13" s="15">
        <f t="shared" si="1"/>
        <v>0</v>
      </c>
      <c r="I13" s="24">
        <v>0</v>
      </c>
      <c r="J13" s="15">
        <f t="shared" si="2"/>
        <v>0</v>
      </c>
      <c r="K13" s="15">
        <f t="shared" si="3"/>
        <v>0</v>
      </c>
    </row>
    <row r="14" spans="1:11" ht="30">
      <c r="A14" s="72">
        <v>8</v>
      </c>
      <c r="B14" s="85" t="s">
        <v>162</v>
      </c>
      <c r="C14" s="23" t="s">
        <v>10</v>
      </c>
      <c r="D14" s="24">
        <v>15</v>
      </c>
      <c r="E14" s="24">
        <v>0</v>
      </c>
      <c r="F14" s="15">
        <f t="shared" si="0"/>
        <v>0</v>
      </c>
      <c r="G14" s="24">
        <v>0</v>
      </c>
      <c r="H14" s="15">
        <f t="shared" si="1"/>
        <v>0</v>
      </c>
      <c r="I14" s="24">
        <v>0</v>
      </c>
      <c r="J14" s="15">
        <f t="shared" si="2"/>
        <v>0</v>
      </c>
      <c r="K14" s="15">
        <f t="shared" si="3"/>
        <v>0</v>
      </c>
    </row>
    <row r="15" spans="1:11">
      <c r="A15" s="72">
        <v>9</v>
      </c>
      <c r="B15" s="85" t="s">
        <v>143</v>
      </c>
      <c r="C15" s="23" t="s">
        <v>10</v>
      </c>
      <c r="D15" s="24">
        <f>D11+D12+D13+D14</f>
        <v>780</v>
      </c>
      <c r="E15" s="24">
        <v>0</v>
      </c>
      <c r="F15" s="15">
        <f t="shared" si="0"/>
        <v>0</v>
      </c>
      <c r="G15" s="24">
        <v>0</v>
      </c>
      <c r="H15" s="15">
        <f t="shared" si="1"/>
        <v>0</v>
      </c>
      <c r="I15" s="24">
        <v>0</v>
      </c>
      <c r="J15" s="15">
        <f t="shared" si="2"/>
        <v>0</v>
      </c>
      <c r="K15" s="15">
        <f t="shared" si="3"/>
        <v>0</v>
      </c>
    </row>
    <row r="16" spans="1:11">
      <c r="A16" s="72">
        <v>10</v>
      </c>
      <c r="B16" s="85" t="s">
        <v>144</v>
      </c>
      <c r="C16" s="23" t="s">
        <v>9</v>
      </c>
      <c r="D16" s="24">
        <v>210</v>
      </c>
      <c r="E16" s="24">
        <v>0</v>
      </c>
      <c r="F16" s="15">
        <f t="shared" si="0"/>
        <v>0</v>
      </c>
      <c r="G16" s="24">
        <v>0</v>
      </c>
      <c r="H16" s="15">
        <f t="shared" si="1"/>
        <v>0</v>
      </c>
      <c r="I16" s="24">
        <v>0</v>
      </c>
      <c r="J16" s="15">
        <f t="shared" si="2"/>
        <v>0</v>
      </c>
      <c r="K16" s="15">
        <f t="shared" si="3"/>
        <v>0</v>
      </c>
    </row>
    <row r="17" spans="1:11">
      <c r="A17" s="72">
        <v>11</v>
      </c>
      <c r="B17" s="85" t="s">
        <v>163</v>
      </c>
      <c r="C17" s="23" t="s">
        <v>9</v>
      </c>
      <c r="D17" s="24">
        <v>210</v>
      </c>
      <c r="E17" s="24">
        <v>0</v>
      </c>
      <c r="F17" s="15">
        <f t="shared" si="0"/>
        <v>0</v>
      </c>
      <c r="G17" s="24">
        <v>0</v>
      </c>
      <c r="H17" s="15">
        <f t="shared" si="1"/>
        <v>0</v>
      </c>
      <c r="I17" s="24">
        <v>0</v>
      </c>
      <c r="J17" s="15">
        <f t="shared" si="2"/>
        <v>0</v>
      </c>
      <c r="K17" s="15">
        <f t="shared" si="3"/>
        <v>0</v>
      </c>
    </row>
    <row r="18" spans="1:11">
      <c r="A18" s="72">
        <v>12</v>
      </c>
      <c r="B18" s="85" t="s">
        <v>117</v>
      </c>
      <c r="C18" s="23" t="s">
        <v>9</v>
      </c>
      <c r="D18" s="24">
        <v>110</v>
      </c>
      <c r="E18" s="24">
        <v>0</v>
      </c>
      <c r="F18" s="15">
        <f t="shared" si="0"/>
        <v>0</v>
      </c>
      <c r="G18" s="24"/>
      <c r="H18" s="15">
        <f t="shared" si="1"/>
        <v>0</v>
      </c>
      <c r="I18" s="24"/>
      <c r="J18" s="15">
        <f t="shared" si="2"/>
        <v>0</v>
      </c>
      <c r="K18" s="15">
        <f t="shared" si="3"/>
        <v>0</v>
      </c>
    </row>
    <row r="19" spans="1:11">
      <c r="A19" s="72"/>
      <c r="B19" s="87" t="s">
        <v>118</v>
      </c>
      <c r="C19" s="23"/>
      <c r="D19" s="24"/>
      <c r="E19" s="24"/>
      <c r="F19" s="15">
        <f t="shared" si="0"/>
        <v>0</v>
      </c>
      <c r="G19" s="24"/>
      <c r="H19" s="15">
        <f t="shared" si="1"/>
        <v>0</v>
      </c>
      <c r="I19" s="24"/>
      <c r="J19" s="15">
        <f t="shared" si="2"/>
        <v>0</v>
      </c>
      <c r="K19" s="15">
        <f t="shared" si="3"/>
        <v>0</v>
      </c>
    </row>
    <row r="20" spans="1:11">
      <c r="A20" s="72">
        <v>1</v>
      </c>
      <c r="B20" s="85" t="s">
        <v>119</v>
      </c>
      <c r="C20" s="23" t="s">
        <v>10</v>
      </c>
      <c r="D20" s="24">
        <v>280</v>
      </c>
      <c r="E20" s="24">
        <v>0</v>
      </c>
      <c r="F20" s="15">
        <f t="shared" si="0"/>
        <v>0</v>
      </c>
      <c r="G20" s="24">
        <v>0</v>
      </c>
      <c r="H20" s="15">
        <f t="shared" si="1"/>
        <v>0</v>
      </c>
      <c r="I20" s="24">
        <v>0</v>
      </c>
      <c r="J20" s="15">
        <f t="shared" si="2"/>
        <v>0</v>
      </c>
      <c r="K20" s="15">
        <f t="shared" si="3"/>
        <v>0</v>
      </c>
    </row>
    <row r="21" spans="1:11">
      <c r="A21" s="72">
        <v>2</v>
      </c>
      <c r="B21" s="85" t="s">
        <v>120</v>
      </c>
      <c r="C21" s="23" t="s">
        <v>10</v>
      </c>
      <c r="D21" s="24">
        <v>120</v>
      </c>
      <c r="E21" s="24">
        <v>0</v>
      </c>
      <c r="F21" s="15">
        <f t="shared" si="0"/>
        <v>0</v>
      </c>
      <c r="G21" s="24">
        <v>0</v>
      </c>
      <c r="H21" s="15">
        <f t="shared" si="1"/>
        <v>0</v>
      </c>
      <c r="I21" s="24">
        <v>0</v>
      </c>
      <c r="J21" s="15">
        <f t="shared" si="2"/>
        <v>0</v>
      </c>
      <c r="K21" s="15">
        <f t="shared" si="3"/>
        <v>0</v>
      </c>
    </row>
    <row r="22" spans="1:11" ht="30">
      <c r="A22" s="72">
        <v>3</v>
      </c>
      <c r="B22" s="85" t="s">
        <v>308</v>
      </c>
      <c r="C22" s="23" t="s">
        <v>9</v>
      </c>
      <c r="D22" s="24">
        <v>18</v>
      </c>
      <c r="E22" s="24">
        <v>0</v>
      </c>
      <c r="F22" s="15">
        <f t="shared" si="0"/>
        <v>0</v>
      </c>
      <c r="G22" s="24">
        <v>0</v>
      </c>
      <c r="H22" s="15">
        <f t="shared" si="1"/>
        <v>0</v>
      </c>
      <c r="I22" s="24">
        <v>0</v>
      </c>
      <c r="J22" s="15">
        <f t="shared" si="2"/>
        <v>0</v>
      </c>
      <c r="K22" s="15">
        <f t="shared" si="3"/>
        <v>0</v>
      </c>
    </row>
    <row r="23" spans="1:11" ht="30">
      <c r="A23" s="72">
        <v>4</v>
      </c>
      <c r="B23" s="85" t="s">
        <v>309</v>
      </c>
      <c r="C23" s="23" t="s">
        <v>9</v>
      </c>
      <c r="D23" s="24">
        <v>70</v>
      </c>
      <c r="E23" s="24">
        <v>0</v>
      </c>
      <c r="F23" s="15">
        <f t="shared" si="0"/>
        <v>0</v>
      </c>
      <c r="G23" s="24">
        <v>0</v>
      </c>
      <c r="H23" s="15">
        <f t="shared" si="1"/>
        <v>0</v>
      </c>
      <c r="I23" s="24">
        <v>0</v>
      </c>
      <c r="J23" s="15">
        <f t="shared" si="2"/>
        <v>0</v>
      </c>
      <c r="K23" s="15">
        <f t="shared" si="3"/>
        <v>0</v>
      </c>
    </row>
    <row r="24" spans="1:11" ht="30">
      <c r="A24" s="72">
        <v>5</v>
      </c>
      <c r="B24" s="85" t="s">
        <v>310</v>
      </c>
      <c r="C24" s="23" t="s">
        <v>9</v>
      </c>
      <c r="D24" s="24">
        <v>26</v>
      </c>
      <c r="E24" s="24">
        <v>0</v>
      </c>
      <c r="F24" s="15">
        <f t="shared" si="0"/>
        <v>0</v>
      </c>
      <c r="G24" s="24">
        <v>0</v>
      </c>
      <c r="H24" s="15">
        <f t="shared" si="1"/>
        <v>0</v>
      </c>
      <c r="I24" s="24">
        <v>0</v>
      </c>
      <c r="J24" s="15">
        <f t="shared" si="2"/>
        <v>0</v>
      </c>
      <c r="K24" s="15">
        <f t="shared" si="3"/>
        <v>0</v>
      </c>
    </row>
    <row r="25" spans="1:11">
      <c r="A25" s="72">
        <v>6</v>
      </c>
      <c r="B25" s="84" t="s">
        <v>121</v>
      </c>
      <c r="C25" s="23" t="s">
        <v>9</v>
      </c>
      <c r="D25" s="24">
        <v>32</v>
      </c>
      <c r="E25" s="24">
        <v>0</v>
      </c>
      <c r="F25" s="15">
        <f t="shared" si="0"/>
        <v>0</v>
      </c>
      <c r="G25" s="24">
        <v>0</v>
      </c>
      <c r="H25" s="15">
        <f t="shared" si="1"/>
        <v>0</v>
      </c>
      <c r="I25" s="24">
        <v>0</v>
      </c>
      <c r="J25" s="15">
        <f t="shared" si="2"/>
        <v>0</v>
      </c>
      <c r="K25" s="15">
        <f t="shared" si="3"/>
        <v>0</v>
      </c>
    </row>
    <row r="26" spans="1:11" ht="45">
      <c r="A26" s="72">
        <v>7</v>
      </c>
      <c r="B26" s="85" t="s">
        <v>311</v>
      </c>
      <c r="C26" s="23" t="s">
        <v>9</v>
      </c>
      <c r="D26" s="24">
        <v>5</v>
      </c>
      <c r="E26" s="24">
        <v>0</v>
      </c>
      <c r="F26" s="15">
        <f t="shared" si="0"/>
        <v>0</v>
      </c>
      <c r="G26" s="24">
        <v>0</v>
      </c>
      <c r="H26" s="15">
        <f t="shared" si="1"/>
        <v>0</v>
      </c>
      <c r="I26" s="24">
        <v>0</v>
      </c>
      <c r="J26" s="15">
        <f t="shared" si="2"/>
        <v>0</v>
      </c>
      <c r="K26" s="15">
        <f t="shared" si="3"/>
        <v>0</v>
      </c>
    </row>
    <row r="27" spans="1:11" ht="30">
      <c r="A27" s="72">
        <v>8</v>
      </c>
      <c r="B27" s="85" t="s">
        <v>134</v>
      </c>
      <c r="C27" s="23" t="s">
        <v>9</v>
      </c>
      <c r="D27" s="24">
        <v>1</v>
      </c>
      <c r="E27" s="24">
        <v>0</v>
      </c>
      <c r="F27" s="15">
        <f t="shared" si="0"/>
        <v>0</v>
      </c>
      <c r="G27" s="24">
        <v>0</v>
      </c>
      <c r="H27" s="15">
        <f t="shared" si="1"/>
        <v>0</v>
      </c>
      <c r="I27" s="24">
        <v>0</v>
      </c>
      <c r="J27" s="15">
        <f t="shared" si="2"/>
        <v>0</v>
      </c>
      <c r="K27" s="15">
        <f t="shared" si="3"/>
        <v>0</v>
      </c>
    </row>
    <row r="28" spans="1:11">
      <c r="A28" s="72">
        <v>9</v>
      </c>
      <c r="B28" s="85" t="s">
        <v>135</v>
      </c>
      <c r="C28" s="23" t="s">
        <v>9</v>
      </c>
      <c r="D28" s="24">
        <v>95</v>
      </c>
      <c r="E28" s="24">
        <v>0</v>
      </c>
      <c r="F28" s="15">
        <f t="shared" si="0"/>
        <v>0</v>
      </c>
      <c r="G28" s="24"/>
      <c r="H28" s="15">
        <f t="shared" si="1"/>
        <v>0</v>
      </c>
      <c r="I28" s="24"/>
      <c r="J28" s="15">
        <f t="shared" si="2"/>
        <v>0</v>
      </c>
      <c r="K28" s="15">
        <f t="shared" si="3"/>
        <v>0</v>
      </c>
    </row>
    <row r="29" spans="1:11" ht="30">
      <c r="A29" s="72">
        <v>10</v>
      </c>
      <c r="B29" s="85" t="s">
        <v>313</v>
      </c>
      <c r="C29" s="23" t="s">
        <v>10</v>
      </c>
      <c r="D29" s="24">
        <v>30</v>
      </c>
      <c r="E29" s="24">
        <v>0</v>
      </c>
      <c r="F29" s="15">
        <f t="shared" si="0"/>
        <v>0</v>
      </c>
      <c r="G29" s="24">
        <v>0</v>
      </c>
      <c r="H29" s="15">
        <f t="shared" si="1"/>
        <v>0</v>
      </c>
      <c r="I29" s="24">
        <v>0</v>
      </c>
      <c r="J29" s="15">
        <f t="shared" si="2"/>
        <v>0</v>
      </c>
      <c r="K29" s="15">
        <f t="shared" si="3"/>
        <v>0</v>
      </c>
    </row>
    <row r="30" spans="1:11" ht="30">
      <c r="A30" s="72">
        <v>9</v>
      </c>
      <c r="B30" s="87" t="s">
        <v>312</v>
      </c>
      <c r="C30" s="23" t="s">
        <v>12</v>
      </c>
      <c r="D30" s="24">
        <v>1</v>
      </c>
      <c r="E30" s="24">
        <v>0</v>
      </c>
      <c r="F30" s="15">
        <f t="shared" si="0"/>
        <v>0</v>
      </c>
      <c r="G30" s="24"/>
      <c r="H30" s="15">
        <f t="shared" si="1"/>
        <v>0</v>
      </c>
      <c r="I30" s="24"/>
      <c r="J30" s="15">
        <f t="shared" si="2"/>
        <v>0</v>
      </c>
      <c r="K30" s="15">
        <f t="shared" si="3"/>
        <v>0</v>
      </c>
    </row>
    <row r="31" spans="1:11">
      <c r="A31" s="5"/>
      <c r="B31" s="83" t="s">
        <v>6</v>
      </c>
      <c r="C31" s="10"/>
      <c r="D31" s="15"/>
      <c r="E31" s="15"/>
      <c r="F31" s="15">
        <f>SUM(F7:F30)</f>
        <v>0</v>
      </c>
      <c r="G31" s="15"/>
      <c r="H31" s="15">
        <f>SUM(H7:H30)</f>
        <v>0</v>
      </c>
      <c r="I31" s="15"/>
      <c r="J31" s="15">
        <f>SUM(J7:J30)</f>
        <v>0</v>
      </c>
      <c r="K31" s="32">
        <f>SUM(K7:K30)</f>
        <v>0</v>
      </c>
    </row>
    <row r="32" spans="1:11" ht="15.75">
      <c r="A32" s="6"/>
      <c r="B32" s="92" t="s">
        <v>14</v>
      </c>
      <c r="C32" s="62">
        <v>0.03</v>
      </c>
      <c r="D32" s="61"/>
      <c r="E32" s="30"/>
      <c r="F32" s="30"/>
      <c r="G32" s="61"/>
      <c r="H32" s="61"/>
      <c r="I32" s="61"/>
      <c r="J32" s="30"/>
      <c r="K32" s="40">
        <f>F31*C32</f>
        <v>0</v>
      </c>
    </row>
    <row r="33" spans="1:11" ht="15.75">
      <c r="A33" s="6"/>
      <c r="B33" s="92" t="s">
        <v>6</v>
      </c>
      <c r="C33" s="80"/>
      <c r="D33" s="61"/>
      <c r="E33" s="30"/>
      <c r="F33" s="30"/>
      <c r="G33" s="61"/>
      <c r="H33" s="61"/>
      <c r="I33" s="61"/>
      <c r="J33" s="30"/>
      <c r="K33" s="40">
        <f>K32+K31</f>
        <v>0</v>
      </c>
    </row>
    <row r="34" spans="1:11" ht="15.75">
      <c r="A34" s="6"/>
      <c r="B34" s="92" t="s">
        <v>288</v>
      </c>
      <c r="C34" s="62">
        <v>7.0000000000000007E-2</v>
      </c>
      <c r="D34" s="61"/>
      <c r="E34" s="30"/>
      <c r="F34" s="30"/>
      <c r="G34" s="61"/>
      <c r="H34" s="61"/>
      <c r="I34" s="61"/>
      <c r="J34" s="30"/>
      <c r="K34" s="40">
        <f>K33*C34</f>
        <v>0</v>
      </c>
    </row>
    <row r="35" spans="1:11" ht="15.75">
      <c r="A35" s="6"/>
      <c r="B35" s="92" t="s">
        <v>6</v>
      </c>
      <c r="C35" s="80"/>
      <c r="D35" s="61"/>
      <c r="E35" s="30"/>
      <c r="F35" s="30"/>
      <c r="G35" s="61"/>
      <c r="H35" s="61"/>
      <c r="I35" s="61"/>
      <c r="J35" s="30"/>
      <c r="K35" s="40">
        <f>K34+K33</f>
        <v>0</v>
      </c>
    </row>
    <row r="36" spans="1:11">
      <c r="A36" s="6"/>
      <c r="B36" s="92" t="s">
        <v>114</v>
      </c>
      <c r="C36" s="62">
        <v>7.0000000000000007E-2</v>
      </c>
      <c r="D36" s="63"/>
      <c r="E36" s="25"/>
      <c r="F36" s="64"/>
      <c r="G36" s="63"/>
      <c r="H36" s="63"/>
      <c r="I36" s="63"/>
      <c r="J36" s="25"/>
      <c r="K36" s="36">
        <f>K35*C36</f>
        <v>0</v>
      </c>
    </row>
    <row r="37" spans="1:11" ht="15.75">
      <c r="A37" s="7"/>
      <c r="B37" s="92" t="s">
        <v>6</v>
      </c>
      <c r="C37" s="80"/>
      <c r="D37" s="61"/>
      <c r="E37" s="30"/>
      <c r="F37" s="30"/>
      <c r="G37" s="61"/>
      <c r="H37" s="61"/>
      <c r="I37" s="61"/>
      <c r="J37" s="30"/>
      <c r="K37" s="40">
        <f>K36+K35</f>
        <v>0</v>
      </c>
    </row>
    <row r="38" spans="1:11" ht="15.75">
      <c r="A38" s="7"/>
      <c r="B38" s="93" t="s">
        <v>20</v>
      </c>
      <c r="C38" s="81">
        <v>0.02</v>
      </c>
      <c r="D38" s="65"/>
      <c r="E38" s="66"/>
      <c r="F38" s="66"/>
      <c r="G38" s="65"/>
      <c r="H38" s="65"/>
      <c r="I38" s="65"/>
      <c r="J38" s="66"/>
      <c r="K38" s="67">
        <f>K37*C38</f>
        <v>0</v>
      </c>
    </row>
    <row r="39" spans="1:11" ht="15.75">
      <c r="A39" s="7"/>
      <c r="B39" s="94" t="s">
        <v>103</v>
      </c>
      <c r="C39" s="62">
        <v>0.02</v>
      </c>
      <c r="D39" s="68"/>
      <c r="E39" s="68"/>
      <c r="F39" s="69"/>
      <c r="G39" s="70"/>
      <c r="H39" s="70"/>
      <c r="I39" s="70"/>
      <c r="J39" s="69"/>
      <c r="K39" s="71">
        <f>H31*C39</f>
        <v>0</v>
      </c>
    </row>
    <row r="40" spans="1:11" ht="15.75">
      <c r="A40" s="7"/>
      <c r="B40" s="95" t="s">
        <v>6</v>
      </c>
      <c r="C40" s="72"/>
      <c r="D40" s="68"/>
      <c r="E40" s="68"/>
      <c r="F40" s="69"/>
      <c r="G40" s="70"/>
      <c r="H40" s="70"/>
      <c r="I40" s="70"/>
      <c r="J40" s="69"/>
      <c r="K40" s="71">
        <f>K39+K38+K37</f>
        <v>0</v>
      </c>
    </row>
    <row r="41" spans="1:11" ht="15.75">
      <c r="A41" s="6"/>
      <c r="B41" s="96" t="s">
        <v>104</v>
      </c>
      <c r="C41" s="73">
        <v>0.18</v>
      </c>
      <c r="D41" s="74"/>
      <c r="E41" s="74"/>
      <c r="F41" s="74"/>
      <c r="G41" s="74"/>
      <c r="H41" s="74"/>
      <c r="I41" s="74"/>
      <c r="J41" s="74"/>
      <c r="K41" s="75">
        <f>K40*C41</f>
        <v>0</v>
      </c>
    </row>
    <row r="42" spans="1:11" ht="15.75">
      <c r="A42" s="5"/>
      <c r="B42" s="97" t="s">
        <v>6</v>
      </c>
      <c r="C42" s="82"/>
      <c r="D42" s="76"/>
      <c r="E42" s="76"/>
      <c r="F42" s="76"/>
      <c r="G42" s="76"/>
      <c r="H42" s="76"/>
      <c r="I42" s="76"/>
      <c r="J42" s="76"/>
      <c r="K42" s="77">
        <f>K41+K40</f>
        <v>0</v>
      </c>
    </row>
    <row r="44" spans="1:11"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</sheetData>
  <mergeCells count="12">
    <mergeCell ref="B44:K44"/>
    <mergeCell ref="K3:K4"/>
    <mergeCell ref="A1:K1"/>
    <mergeCell ref="C2:I2"/>
    <mergeCell ref="J2:K2"/>
    <mergeCell ref="A3:A4"/>
    <mergeCell ref="B3:B4"/>
    <mergeCell ref="C3:C4"/>
    <mergeCell ref="D3:D4"/>
    <mergeCell ref="E3:F3"/>
    <mergeCell ref="G3:H3"/>
    <mergeCell ref="I3:J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65"/>
  <sheetViews>
    <sheetView workbookViewId="0">
      <selection activeCell="I52" sqref="I52"/>
    </sheetView>
  </sheetViews>
  <sheetFormatPr defaultRowHeight="15"/>
  <cols>
    <col min="1" max="1" width="4.140625" customWidth="1"/>
    <col min="2" max="2" width="59.5703125" customWidth="1"/>
    <col min="11" max="11" width="10.5703125" customWidth="1"/>
  </cols>
  <sheetData>
    <row r="1" spans="1:11">
      <c r="A1" s="166" t="s">
        <v>128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6.25" customHeight="1">
      <c r="A2" s="9"/>
      <c r="B2" s="38"/>
      <c r="C2" s="169" t="s">
        <v>454</v>
      </c>
      <c r="D2" s="169"/>
      <c r="E2" s="169"/>
      <c r="F2" s="169"/>
      <c r="G2" s="169"/>
      <c r="H2" s="169"/>
      <c r="I2" s="169"/>
      <c r="J2" s="167">
        <f>K64</f>
        <v>0</v>
      </c>
      <c r="K2" s="168"/>
    </row>
    <row r="3" spans="1:11" ht="29.25" customHeight="1">
      <c r="A3" s="170" t="s">
        <v>0</v>
      </c>
      <c r="B3" s="170" t="s">
        <v>1</v>
      </c>
      <c r="C3" s="170" t="s">
        <v>2</v>
      </c>
      <c r="D3" s="176" t="s">
        <v>3</v>
      </c>
      <c r="E3" s="172" t="s">
        <v>4</v>
      </c>
      <c r="F3" s="173"/>
      <c r="G3" s="172" t="s">
        <v>5</v>
      </c>
      <c r="H3" s="173"/>
      <c r="I3" s="174" t="s">
        <v>28</v>
      </c>
      <c r="J3" s="175"/>
      <c r="K3" s="170" t="s">
        <v>6</v>
      </c>
    </row>
    <row r="4" spans="1:11">
      <c r="A4" s="171"/>
      <c r="B4" s="171"/>
      <c r="C4" s="171"/>
      <c r="D4" s="177"/>
      <c r="E4" s="42" t="s">
        <v>7</v>
      </c>
      <c r="F4" s="43" t="s">
        <v>6</v>
      </c>
      <c r="G4" s="42" t="s">
        <v>7</v>
      </c>
      <c r="H4" s="43" t="s">
        <v>6</v>
      </c>
      <c r="I4" s="42" t="s">
        <v>7</v>
      </c>
      <c r="J4" s="43" t="s">
        <v>6</v>
      </c>
      <c r="K4" s="171"/>
    </row>
    <row r="5" spans="1:11">
      <c r="A5" s="12">
        <v>1</v>
      </c>
      <c r="B5" s="11">
        <v>2</v>
      </c>
      <c r="C5" s="127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 ht="15.75">
      <c r="A6" s="48">
        <v>1</v>
      </c>
      <c r="B6" s="100" t="s">
        <v>314</v>
      </c>
      <c r="C6" s="128" t="s">
        <v>9</v>
      </c>
      <c r="D6" s="101">
        <v>1</v>
      </c>
      <c r="E6" s="103">
        <v>0</v>
      </c>
      <c r="F6" s="15">
        <f>E6*D6</f>
        <v>0</v>
      </c>
      <c r="G6" s="103">
        <v>0</v>
      </c>
      <c r="H6" s="15">
        <f>G6*D6</f>
        <v>0</v>
      </c>
      <c r="I6" s="5">
        <v>0</v>
      </c>
      <c r="J6" s="15">
        <f>I6*D6</f>
        <v>0</v>
      </c>
      <c r="K6" s="15">
        <f>J6+H6+F6</f>
        <v>0</v>
      </c>
    </row>
    <row r="7" spans="1:11" ht="15.75">
      <c r="A7" s="48">
        <v>2</v>
      </c>
      <c r="B7" s="100" t="s">
        <v>339</v>
      </c>
      <c r="C7" s="128" t="s">
        <v>9</v>
      </c>
      <c r="D7" s="101">
        <v>6</v>
      </c>
      <c r="E7" s="103">
        <v>0</v>
      </c>
      <c r="F7" s="15">
        <f t="shared" ref="F7:F52" si="0">E7*D7</f>
        <v>0</v>
      </c>
      <c r="G7" s="103">
        <v>0</v>
      </c>
      <c r="H7" s="15">
        <f t="shared" ref="H7:H52" si="1">G7*D7</f>
        <v>0</v>
      </c>
      <c r="I7" s="5">
        <v>0</v>
      </c>
      <c r="J7" s="15">
        <f t="shared" ref="J7:J52" si="2">I7*D7</f>
        <v>0</v>
      </c>
      <c r="K7" s="15">
        <f t="shared" ref="K7:K52" si="3">J7+H7+F7</f>
        <v>0</v>
      </c>
    </row>
    <row r="8" spans="1:11" ht="15.75">
      <c r="A8" s="48">
        <v>3</v>
      </c>
      <c r="B8" s="100" t="s">
        <v>149</v>
      </c>
      <c r="C8" s="128" t="s">
        <v>9</v>
      </c>
      <c r="D8" s="101">
        <v>1</v>
      </c>
      <c r="E8" s="103">
        <v>0</v>
      </c>
      <c r="F8" s="15">
        <f t="shared" si="0"/>
        <v>0</v>
      </c>
      <c r="G8" s="103">
        <v>0</v>
      </c>
      <c r="H8" s="15">
        <f t="shared" si="1"/>
        <v>0</v>
      </c>
      <c r="I8" s="5">
        <v>0</v>
      </c>
      <c r="J8" s="15">
        <f t="shared" si="2"/>
        <v>0</v>
      </c>
      <c r="K8" s="15">
        <f t="shared" si="3"/>
        <v>0</v>
      </c>
    </row>
    <row r="9" spans="1:11" ht="15.75">
      <c r="A9" s="48">
        <v>4</v>
      </c>
      <c r="B9" s="104" t="s">
        <v>150</v>
      </c>
      <c r="C9" s="129" t="s">
        <v>36</v>
      </c>
      <c r="D9" s="101">
        <v>4</v>
      </c>
      <c r="E9" s="103">
        <v>0</v>
      </c>
      <c r="F9" s="15">
        <f t="shared" si="0"/>
        <v>0</v>
      </c>
      <c r="G9" s="103">
        <v>0</v>
      </c>
      <c r="H9" s="15">
        <f t="shared" si="1"/>
        <v>0</v>
      </c>
      <c r="I9" s="5">
        <v>0</v>
      </c>
      <c r="J9" s="15">
        <f t="shared" si="2"/>
        <v>0</v>
      </c>
      <c r="K9" s="15">
        <f t="shared" si="3"/>
        <v>0</v>
      </c>
    </row>
    <row r="10" spans="1:11" ht="15.75">
      <c r="A10" s="48">
        <v>5</v>
      </c>
      <c r="B10" s="104" t="s">
        <v>151</v>
      </c>
      <c r="C10" s="129" t="s">
        <v>36</v>
      </c>
      <c r="D10" s="101">
        <v>2</v>
      </c>
      <c r="E10" s="103">
        <v>0</v>
      </c>
      <c r="F10" s="15">
        <f t="shared" si="0"/>
        <v>0</v>
      </c>
      <c r="G10" s="103">
        <v>0</v>
      </c>
      <c r="H10" s="15">
        <f t="shared" si="1"/>
        <v>0</v>
      </c>
      <c r="I10" s="5">
        <v>0</v>
      </c>
      <c r="J10" s="15">
        <f t="shared" si="2"/>
        <v>0</v>
      </c>
      <c r="K10" s="15">
        <f t="shared" si="3"/>
        <v>0</v>
      </c>
    </row>
    <row r="11" spans="1:11" ht="15.75">
      <c r="A11" s="48">
        <v>6</v>
      </c>
      <c r="B11" s="104" t="s">
        <v>315</v>
      </c>
      <c r="C11" s="129" t="s">
        <v>36</v>
      </c>
      <c r="D11" s="101">
        <v>6</v>
      </c>
      <c r="E11" s="103">
        <v>0</v>
      </c>
      <c r="F11" s="15">
        <f t="shared" si="0"/>
        <v>0</v>
      </c>
      <c r="G11" s="103">
        <v>0</v>
      </c>
      <c r="H11" s="15">
        <f t="shared" si="1"/>
        <v>0</v>
      </c>
      <c r="I11" s="5">
        <v>0</v>
      </c>
      <c r="J11" s="15">
        <f t="shared" si="2"/>
        <v>0</v>
      </c>
      <c r="K11" s="15">
        <f t="shared" si="3"/>
        <v>0</v>
      </c>
    </row>
    <row r="12" spans="1:11" ht="15.75">
      <c r="A12" s="48">
        <v>7</v>
      </c>
      <c r="B12" s="104" t="s">
        <v>152</v>
      </c>
      <c r="C12" s="129" t="s">
        <v>36</v>
      </c>
      <c r="D12" s="101">
        <v>5</v>
      </c>
      <c r="E12" s="103">
        <v>0</v>
      </c>
      <c r="F12" s="15">
        <f t="shared" si="0"/>
        <v>0</v>
      </c>
      <c r="G12" s="103">
        <v>0</v>
      </c>
      <c r="H12" s="15">
        <f t="shared" si="1"/>
        <v>0</v>
      </c>
      <c r="I12" s="5">
        <v>0</v>
      </c>
      <c r="J12" s="15">
        <f t="shared" si="2"/>
        <v>0</v>
      </c>
      <c r="K12" s="15">
        <f t="shared" si="3"/>
        <v>0</v>
      </c>
    </row>
    <row r="13" spans="1:11" ht="15.75">
      <c r="A13" s="48">
        <v>8</v>
      </c>
      <c r="B13" s="104" t="s">
        <v>153</v>
      </c>
      <c r="C13" s="129" t="s">
        <v>36</v>
      </c>
      <c r="D13" s="101">
        <v>3</v>
      </c>
      <c r="E13" s="103">
        <v>0</v>
      </c>
      <c r="F13" s="15">
        <f t="shared" si="0"/>
        <v>0</v>
      </c>
      <c r="G13" s="103">
        <v>0</v>
      </c>
      <c r="H13" s="15">
        <f t="shared" si="1"/>
        <v>0</v>
      </c>
      <c r="I13" s="5">
        <v>0</v>
      </c>
      <c r="J13" s="15">
        <f t="shared" si="2"/>
        <v>0</v>
      </c>
      <c r="K13" s="15">
        <f t="shared" si="3"/>
        <v>0</v>
      </c>
    </row>
    <row r="14" spans="1:11" ht="15.75">
      <c r="A14" s="48">
        <v>9</v>
      </c>
      <c r="B14" s="104" t="s">
        <v>154</v>
      </c>
      <c r="C14" s="129" t="s">
        <v>36</v>
      </c>
      <c r="D14" s="101">
        <v>8</v>
      </c>
      <c r="E14" s="103">
        <v>0</v>
      </c>
      <c r="F14" s="15">
        <f t="shared" si="0"/>
        <v>0</v>
      </c>
      <c r="G14" s="103">
        <v>0</v>
      </c>
      <c r="H14" s="15">
        <f t="shared" si="1"/>
        <v>0</v>
      </c>
      <c r="I14" s="5">
        <v>0</v>
      </c>
      <c r="J14" s="15">
        <f t="shared" si="2"/>
        <v>0</v>
      </c>
      <c r="K14" s="15">
        <f t="shared" si="3"/>
        <v>0</v>
      </c>
    </row>
    <row r="15" spans="1:11" ht="15.75">
      <c r="A15" s="48">
        <v>10</v>
      </c>
      <c r="B15" s="104" t="s">
        <v>316</v>
      </c>
      <c r="C15" s="129" t="s">
        <v>36</v>
      </c>
      <c r="D15" s="101">
        <v>4</v>
      </c>
      <c r="E15" s="103">
        <v>0</v>
      </c>
      <c r="F15" s="15">
        <f t="shared" si="0"/>
        <v>0</v>
      </c>
      <c r="G15" s="103">
        <v>0</v>
      </c>
      <c r="H15" s="15">
        <f t="shared" si="1"/>
        <v>0</v>
      </c>
      <c r="I15" s="5">
        <v>0</v>
      </c>
      <c r="J15" s="15">
        <f t="shared" si="2"/>
        <v>0</v>
      </c>
      <c r="K15" s="15">
        <f t="shared" si="3"/>
        <v>0</v>
      </c>
    </row>
    <row r="16" spans="1:11" ht="15.75">
      <c r="A16" s="48">
        <v>11</v>
      </c>
      <c r="B16" s="104" t="s">
        <v>317</v>
      </c>
      <c r="C16" s="129" t="s">
        <v>36</v>
      </c>
      <c r="D16" s="101">
        <v>10</v>
      </c>
      <c r="E16" s="103">
        <v>0</v>
      </c>
      <c r="F16" s="15">
        <f t="shared" si="0"/>
        <v>0</v>
      </c>
      <c r="G16" s="103">
        <v>0</v>
      </c>
      <c r="H16" s="15">
        <f t="shared" si="1"/>
        <v>0</v>
      </c>
      <c r="I16" s="5">
        <v>0</v>
      </c>
      <c r="J16" s="15">
        <f t="shared" si="2"/>
        <v>0</v>
      </c>
      <c r="K16" s="15">
        <f t="shared" si="3"/>
        <v>0</v>
      </c>
    </row>
    <row r="17" spans="1:11" ht="15.75">
      <c r="A17" s="48">
        <v>12</v>
      </c>
      <c r="B17" s="104" t="s">
        <v>155</v>
      </c>
      <c r="C17" s="129" t="s">
        <v>36</v>
      </c>
      <c r="D17" s="101">
        <v>5</v>
      </c>
      <c r="E17" s="103">
        <v>0</v>
      </c>
      <c r="F17" s="15">
        <f t="shared" si="0"/>
        <v>0</v>
      </c>
      <c r="G17" s="103">
        <v>0</v>
      </c>
      <c r="H17" s="15">
        <f t="shared" si="1"/>
        <v>0</v>
      </c>
      <c r="I17" s="5">
        <v>0</v>
      </c>
      <c r="J17" s="15">
        <f t="shared" si="2"/>
        <v>0</v>
      </c>
      <c r="K17" s="15">
        <f t="shared" si="3"/>
        <v>0</v>
      </c>
    </row>
    <row r="18" spans="1:11" ht="15.75">
      <c r="A18" s="48">
        <v>13</v>
      </c>
      <c r="B18" s="104" t="s">
        <v>157</v>
      </c>
      <c r="C18" s="129" t="s">
        <v>36</v>
      </c>
      <c r="D18" s="101">
        <v>7</v>
      </c>
      <c r="E18" s="103">
        <v>0</v>
      </c>
      <c r="F18" s="15">
        <f t="shared" si="0"/>
        <v>0</v>
      </c>
      <c r="G18" s="103">
        <v>0</v>
      </c>
      <c r="H18" s="15">
        <f t="shared" si="1"/>
        <v>0</v>
      </c>
      <c r="I18" s="5">
        <v>0</v>
      </c>
      <c r="J18" s="15">
        <f t="shared" si="2"/>
        <v>0</v>
      </c>
      <c r="K18" s="15">
        <f t="shared" si="3"/>
        <v>0</v>
      </c>
    </row>
    <row r="19" spans="1:11" ht="15.75">
      <c r="A19" s="48">
        <v>14</v>
      </c>
      <c r="B19" s="104" t="s">
        <v>156</v>
      </c>
      <c r="C19" s="129" t="s">
        <v>36</v>
      </c>
      <c r="D19" s="101">
        <v>60</v>
      </c>
      <c r="E19" s="103">
        <v>0</v>
      </c>
      <c r="F19" s="15">
        <f t="shared" si="0"/>
        <v>0</v>
      </c>
      <c r="G19" s="103">
        <v>0</v>
      </c>
      <c r="H19" s="15">
        <f t="shared" si="1"/>
        <v>0</v>
      </c>
      <c r="I19" s="5">
        <v>0</v>
      </c>
      <c r="J19" s="15">
        <f t="shared" si="2"/>
        <v>0</v>
      </c>
      <c r="K19" s="15">
        <f t="shared" si="3"/>
        <v>0</v>
      </c>
    </row>
    <row r="20" spans="1:11" ht="15.75">
      <c r="A20" s="48">
        <v>15</v>
      </c>
      <c r="B20" s="104" t="s">
        <v>158</v>
      </c>
      <c r="C20" s="129" t="s">
        <v>36</v>
      </c>
      <c r="D20" s="101">
        <v>40</v>
      </c>
      <c r="E20" s="103">
        <v>0</v>
      </c>
      <c r="F20" s="15">
        <f t="shared" si="0"/>
        <v>0</v>
      </c>
      <c r="G20" s="103">
        <v>0</v>
      </c>
      <c r="H20" s="15">
        <f t="shared" si="1"/>
        <v>0</v>
      </c>
      <c r="I20" s="5">
        <v>0</v>
      </c>
      <c r="J20" s="15">
        <f t="shared" si="2"/>
        <v>0</v>
      </c>
      <c r="K20" s="15">
        <f t="shared" si="3"/>
        <v>0</v>
      </c>
    </row>
    <row r="21" spans="1:11">
      <c r="A21" s="48">
        <v>16</v>
      </c>
      <c r="B21" s="102" t="s">
        <v>439</v>
      </c>
      <c r="C21" s="129" t="s">
        <v>127</v>
      </c>
      <c r="D21" s="23">
        <v>120</v>
      </c>
      <c r="E21" s="103">
        <v>0</v>
      </c>
      <c r="F21" s="15">
        <f t="shared" si="0"/>
        <v>0</v>
      </c>
      <c r="G21" s="103">
        <v>0</v>
      </c>
      <c r="H21" s="15">
        <f t="shared" si="1"/>
        <v>0</v>
      </c>
      <c r="I21" s="5">
        <v>0</v>
      </c>
      <c r="J21" s="15">
        <f t="shared" si="2"/>
        <v>0</v>
      </c>
      <c r="K21" s="15">
        <f t="shared" si="3"/>
        <v>0</v>
      </c>
    </row>
    <row r="22" spans="1:11" ht="30">
      <c r="A22" s="48">
        <v>17</v>
      </c>
      <c r="B22" s="88" t="s">
        <v>318</v>
      </c>
      <c r="C22" s="129" t="s">
        <v>127</v>
      </c>
      <c r="D22" s="23">
        <v>40</v>
      </c>
      <c r="E22" s="103">
        <v>0</v>
      </c>
      <c r="F22" s="15">
        <f t="shared" si="0"/>
        <v>0</v>
      </c>
      <c r="G22" s="103">
        <v>0</v>
      </c>
      <c r="H22" s="15">
        <f t="shared" si="1"/>
        <v>0</v>
      </c>
      <c r="I22" s="5">
        <v>0</v>
      </c>
      <c r="J22" s="15">
        <f t="shared" si="2"/>
        <v>0</v>
      </c>
      <c r="K22" s="15">
        <f t="shared" si="3"/>
        <v>0</v>
      </c>
    </row>
    <row r="23" spans="1:11" ht="30">
      <c r="A23" s="48">
        <v>18</v>
      </c>
      <c r="B23" s="88" t="s">
        <v>319</v>
      </c>
      <c r="C23" s="129" t="s">
        <v>10</v>
      </c>
      <c r="D23" s="23">
        <v>45</v>
      </c>
      <c r="E23" s="103">
        <v>0</v>
      </c>
      <c r="F23" s="15">
        <f t="shared" si="0"/>
        <v>0</v>
      </c>
      <c r="G23" s="103">
        <v>0</v>
      </c>
      <c r="H23" s="15">
        <f t="shared" si="1"/>
        <v>0</v>
      </c>
      <c r="I23" s="5">
        <v>0</v>
      </c>
      <c r="J23" s="15">
        <f t="shared" si="2"/>
        <v>0</v>
      </c>
      <c r="K23" s="15">
        <f t="shared" si="3"/>
        <v>0</v>
      </c>
    </row>
    <row r="24" spans="1:11" ht="30">
      <c r="A24" s="48">
        <v>19</v>
      </c>
      <c r="B24" s="88" t="s">
        <v>320</v>
      </c>
      <c r="C24" s="129" t="s">
        <v>127</v>
      </c>
      <c r="D24" s="23">
        <v>80</v>
      </c>
      <c r="E24" s="103">
        <v>0</v>
      </c>
      <c r="F24" s="15">
        <f t="shared" si="0"/>
        <v>0</v>
      </c>
      <c r="G24" s="103">
        <v>0</v>
      </c>
      <c r="H24" s="15">
        <f t="shared" si="1"/>
        <v>0</v>
      </c>
      <c r="I24" s="5">
        <v>0</v>
      </c>
      <c r="J24" s="15">
        <f t="shared" si="2"/>
        <v>0</v>
      </c>
      <c r="K24" s="15">
        <f t="shared" si="3"/>
        <v>0</v>
      </c>
    </row>
    <row r="25" spans="1:11" ht="30">
      <c r="A25" s="48">
        <v>20</v>
      </c>
      <c r="B25" s="88" t="s">
        <v>321</v>
      </c>
      <c r="C25" s="129" t="s">
        <v>127</v>
      </c>
      <c r="D25" s="98">
        <v>70</v>
      </c>
      <c r="E25" s="103">
        <v>0</v>
      </c>
      <c r="F25" s="15">
        <f t="shared" si="0"/>
        <v>0</v>
      </c>
      <c r="G25" s="103">
        <v>0</v>
      </c>
      <c r="H25" s="15">
        <f t="shared" si="1"/>
        <v>0</v>
      </c>
      <c r="I25" s="5">
        <v>0</v>
      </c>
      <c r="J25" s="15">
        <f t="shared" si="2"/>
        <v>0</v>
      </c>
      <c r="K25" s="15">
        <f t="shared" si="3"/>
        <v>0</v>
      </c>
    </row>
    <row r="26" spans="1:11" ht="30">
      <c r="A26" s="48">
        <v>21</v>
      </c>
      <c r="B26" s="88" t="s">
        <v>322</v>
      </c>
      <c r="C26" s="129" t="s">
        <v>127</v>
      </c>
      <c r="D26" s="98">
        <v>50</v>
      </c>
      <c r="E26" s="103">
        <v>0</v>
      </c>
      <c r="F26" s="15">
        <f t="shared" si="0"/>
        <v>0</v>
      </c>
      <c r="G26" s="103">
        <v>0</v>
      </c>
      <c r="H26" s="15">
        <f t="shared" si="1"/>
        <v>0</v>
      </c>
      <c r="I26" s="5">
        <v>0</v>
      </c>
      <c r="J26" s="15">
        <f t="shared" si="2"/>
        <v>0</v>
      </c>
      <c r="K26" s="15">
        <f t="shared" si="3"/>
        <v>0</v>
      </c>
    </row>
    <row r="27" spans="1:11" ht="30">
      <c r="A27" s="48">
        <v>22</v>
      </c>
      <c r="B27" s="88" t="s">
        <v>323</v>
      </c>
      <c r="C27" s="129" t="s">
        <v>10</v>
      </c>
      <c r="D27" s="98">
        <v>600</v>
      </c>
      <c r="E27" s="103">
        <v>0</v>
      </c>
      <c r="F27" s="15">
        <f t="shared" si="0"/>
        <v>0</v>
      </c>
      <c r="G27" s="103">
        <v>0</v>
      </c>
      <c r="H27" s="15">
        <f t="shared" si="1"/>
        <v>0</v>
      </c>
      <c r="I27" s="5">
        <v>0</v>
      </c>
      <c r="J27" s="15">
        <f t="shared" si="2"/>
        <v>0</v>
      </c>
      <c r="K27" s="15">
        <f t="shared" si="3"/>
        <v>0</v>
      </c>
    </row>
    <row r="28" spans="1:11" ht="30">
      <c r="A28" s="48">
        <v>23</v>
      </c>
      <c r="B28" s="88" t="s">
        <v>324</v>
      </c>
      <c r="C28" s="129" t="s">
        <v>10</v>
      </c>
      <c r="D28" s="98">
        <v>2100</v>
      </c>
      <c r="E28" s="103">
        <v>0</v>
      </c>
      <c r="F28" s="15">
        <f t="shared" si="0"/>
        <v>0</v>
      </c>
      <c r="G28" s="103">
        <v>0</v>
      </c>
      <c r="H28" s="15">
        <f t="shared" si="1"/>
        <v>0</v>
      </c>
      <c r="I28" s="5">
        <v>0</v>
      </c>
      <c r="J28" s="15">
        <f t="shared" si="2"/>
        <v>0</v>
      </c>
      <c r="K28" s="15">
        <f t="shared" si="3"/>
        <v>0</v>
      </c>
    </row>
    <row r="29" spans="1:11" ht="30">
      <c r="A29" s="48">
        <v>24</v>
      </c>
      <c r="B29" s="88" t="s">
        <v>325</v>
      </c>
      <c r="C29" s="129" t="s">
        <v>10</v>
      </c>
      <c r="D29" s="98">
        <v>3600</v>
      </c>
      <c r="E29" s="103">
        <v>0</v>
      </c>
      <c r="F29" s="15">
        <f t="shared" si="0"/>
        <v>0</v>
      </c>
      <c r="G29" s="103">
        <v>0</v>
      </c>
      <c r="H29" s="15">
        <f t="shared" si="1"/>
        <v>0</v>
      </c>
      <c r="I29" s="5">
        <v>0</v>
      </c>
      <c r="J29" s="15">
        <f t="shared" si="2"/>
        <v>0</v>
      </c>
      <c r="K29" s="15">
        <f t="shared" si="3"/>
        <v>0</v>
      </c>
    </row>
    <row r="30" spans="1:11" ht="30">
      <c r="A30" s="48">
        <v>25</v>
      </c>
      <c r="B30" s="88" t="s">
        <v>159</v>
      </c>
      <c r="C30" s="129" t="s">
        <v>36</v>
      </c>
      <c r="D30" s="98">
        <v>12</v>
      </c>
      <c r="E30" s="103">
        <v>0</v>
      </c>
      <c r="F30" s="15">
        <f t="shared" si="0"/>
        <v>0</v>
      </c>
      <c r="G30" s="103">
        <v>0</v>
      </c>
      <c r="H30" s="15">
        <f t="shared" si="1"/>
        <v>0</v>
      </c>
      <c r="I30" s="5">
        <v>0</v>
      </c>
      <c r="J30" s="15">
        <f t="shared" si="2"/>
        <v>0</v>
      </c>
      <c r="K30" s="15">
        <f t="shared" si="3"/>
        <v>0</v>
      </c>
    </row>
    <row r="31" spans="1:11" ht="30">
      <c r="A31" s="48">
        <v>26</v>
      </c>
      <c r="B31" s="88" t="s">
        <v>160</v>
      </c>
      <c r="C31" s="129" t="s">
        <v>36</v>
      </c>
      <c r="D31" s="98">
        <v>760</v>
      </c>
      <c r="E31" s="103">
        <v>0</v>
      </c>
      <c r="F31" s="15">
        <f t="shared" si="0"/>
        <v>0</v>
      </c>
      <c r="G31" s="103">
        <v>0</v>
      </c>
      <c r="H31" s="15">
        <f t="shared" si="1"/>
        <v>0</v>
      </c>
      <c r="I31" s="5">
        <v>0</v>
      </c>
      <c r="J31" s="15">
        <f t="shared" si="2"/>
        <v>0</v>
      </c>
      <c r="K31" s="15">
        <f t="shared" si="3"/>
        <v>0</v>
      </c>
    </row>
    <row r="32" spans="1:11" ht="30">
      <c r="A32" s="48">
        <v>27</v>
      </c>
      <c r="B32" s="88" t="s">
        <v>122</v>
      </c>
      <c r="C32" s="129" t="s">
        <v>9</v>
      </c>
      <c r="D32" s="98">
        <v>71</v>
      </c>
      <c r="E32" s="103">
        <v>0</v>
      </c>
      <c r="F32" s="15">
        <f t="shared" si="0"/>
        <v>0</v>
      </c>
      <c r="G32" s="103">
        <v>0</v>
      </c>
      <c r="H32" s="15">
        <f t="shared" si="1"/>
        <v>0</v>
      </c>
      <c r="I32" s="5">
        <v>0</v>
      </c>
      <c r="J32" s="15">
        <f t="shared" si="2"/>
        <v>0</v>
      </c>
      <c r="K32" s="15">
        <f t="shared" si="3"/>
        <v>0</v>
      </c>
    </row>
    <row r="33" spans="1:11" ht="30">
      <c r="A33" s="48">
        <v>28</v>
      </c>
      <c r="B33" s="88" t="s">
        <v>123</v>
      </c>
      <c r="C33" s="129" t="s">
        <v>9</v>
      </c>
      <c r="D33" s="98">
        <v>34</v>
      </c>
      <c r="E33" s="103">
        <v>0</v>
      </c>
      <c r="F33" s="15">
        <f t="shared" si="0"/>
        <v>0</v>
      </c>
      <c r="G33" s="103">
        <v>0</v>
      </c>
      <c r="H33" s="15">
        <f t="shared" si="1"/>
        <v>0</v>
      </c>
      <c r="I33" s="5">
        <v>0</v>
      </c>
      <c r="J33" s="15">
        <f t="shared" si="2"/>
        <v>0</v>
      </c>
      <c r="K33" s="15">
        <f t="shared" si="3"/>
        <v>0</v>
      </c>
    </row>
    <row r="34" spans="1:11" ht="30">
      <c r="A34" s="48">
        <v>29</v>
      </c>
      <c r="B34" s="88" t="s">
        <v>124</v>
      </c>
      <c r="C34" s="129" t="s">
        <v>36</v>
      </c>
      <c r="D34" s="98">
        <v>3</v>
      </c>
      <c r="E34" s="103">
        <v>0</v>
      </c>
      <c r="F34" s="15">
        <f t="shared" si="0"/>
        <v>0</v>
      </c>
      <c r="G34" s="103">
        <v>0</v>
      </c>
      <c r="H34" s="15">
        <f t="shared" si="1"/>
        <v>0</v>
      </c>
      <c r="I34" s="5">
        <v>0</v>
      </c>
      <c r="J34" s="15">
        <f t="shared" si="2"/>
        <v>0</v>
      </c>
      <c r="K34" s="15">
        <f t="shared" si="3"/>
        <v>0</v>
      </c>
    </row>
    <row r="35" spans="1:11" ht="36.75" customHeight="1">
      <c r="A35" s="48">
        <v>30</v>
      </c>
      <c r="B35" s="88" t="s">
        <v>340</v>
      </c>
      <c r="C35" s="129" t="s">
        <v>9</v>
      </c>
      <c r="D35" s="98">
        <v>325</v>
      </c>
      <c r="E35" s="103">
        <v>0</v>
      </c>
      <c r="F35" s="15">
        <f t="shared" si="0"/>
        <v>0</v>
      </c>
      <c r="G35" s="103">
        <v>0</v>
      </c>
      <c r="H35" s="15">
        <f t="shared" si="1"/>
        <v>0</v>
      </c>
      <c r="I35" s="5">
        <v>0</v>
      </c>
      <c r="J35" s="15">
        <f t="shared" si="2"/>
        <v>0</v>
      </c>
      <c r="K35" s="15">
        <f t="shared" si="3"/>
        <v>0</v>
      </c>
    </row>
    <row r="36" spans="1:11">
      <c r="A36" s="48">
        <v>31</v>
      </c>
      <c r="B36" s="90" t="s">
        <v>326</v>
      </c>
      <c r="C36" s="129" t="s">
        <v>9</v>
      </c>
      <c r="D36" s="98">
        <v>70</v>
      </c>
      <c r="E36" s="103">
        <v>0</v>
      </c>
      <c r="F36" s="15">
        <f t="shared" si="0"/>
        <v>0</v>
      </c>
      <c r="G36" s="103">
        <v>0</v>
      </c>
      <c r="H36" s="15">
        <f t="shared" si="1"/>
        <v>0</v>
      </c>
      <c r="I36" s="5">
        <v>0</v>
      </c>
      <c r="J36" s="15">
        <f t="shared" si="2"/>
        <v>0</v>
      </c>
      <c r="K36" s="15">
        <f t="shared" si="3"/>
        <v>0</v>
      </c>
    </row>
    <row r="37" spans="1:11" ht="30">
      <c r="A37" s="48">
        <v>32</v>
      </c>
      <c r="B37" s="90" t="s">
        <v>327</v>
      </c>
      <c r="C37" s="129" t="s">
        <v>9</v>
      </c>
      <c r="D37" s="98">
        <v>155</v>
      </c>
      <c r="E37" s="103">
        <v>0</v>
      </c>
      <c r="F37" s="15">
        <f t="shared" si="0"/>
        <v>0</v>
      </c>
      <c r="G37" s="103">
        <v>0</v>
      </c>
      <c r="H37" s="15">
        <f t="shared" si="1"/>
        <v>0</v>
      </c>
      <c r="I37" s="5">
        <v>0</v>
      </c>
      <c r="J37" s="15">
        <f t="shared" si="2"/>
        <v>0</v>
      </c>
      <c r="K37" s="15">
        <f t="shared" si="3"/>
        <v>0</v>
      </c>
    </row>
    <row r="38" spans="1:11">
      <c r="A38" s="48">
        <v>33</v>
      </c>
      <c r="B38" s="85" t="s">
        <v>115</v>
      </c>
      <c r="C38" s="130" t="s">
        <v>9</v>
      </c>
      <c r="D38" s="28">
        <v>8</v>
      </c>
      <c r="E38" s="103">
        <v>0</v>
      </c>
      <c r="F38" s="15">
        <f t="shared" si="0"/>
        <v>0</v>
      </c>
      <c r="G38" s="103">
        <v>0</v>
      </c>
      <c r="H38" s="15">
        <f t="shared" si="1"/>
        <v>0</v>
      </c>
      <c r="I38" s="5">
        <v>0</v>
      </c>
      <c r="J38" s="15">
        <f t="shared" si="2"/>
        <v>0</v>
      </c>
      <c r="K38" s="15">
        <f t="shared" si="3"/>
        <v>0</v>
      </c>
    </row>
    <row r="39" spans="1:11">
      <c r="A39" s="48">
        <v>34</v>
      </c>
      <c r="B39" s="89" t="s">
        <v>125</v>
      </c>
      <c r="C39" s="129" t="s">
        <v>129</v>
      </c>
      <c r="D39" s="98">
        <v>1</v>
      </c>
      <c r="E39" s="103">
        <v>0</v>
      </c>
      <c r="F39" s="15">
        <f t="shared" si="0"/>
        <v>0</v>
      </c>
      <c r="G39" s="103">
        <v>0</v>
      </c>
      <c r="H39" s="15">
        <f t="shared" si="1"/>
        <v>0</v>
      </c>
      <c r="I39" s="5">
        <v>0</v>
      </c>
      <c r="J39" s="15">
        <f t="shared" si="2"/>
        <v>0</v>
      </c>
      <c r="K39" s="15">
        <f t="shared" si="3"/>
        <v>0</v>
      </c>
    </row>
    <row r="40" spans="1:11">
      <c r="A40" s="48">
        <v>35</v>
      </c>
      <c r="B40" s="90" t="s">
        <v>126</v>
      </c>
      <c r="C40" s="129" t="s">
        <v>36</v>
      </c>
      <c r="D40" s="98">
        <v>320</v>
      </c>
      <c r="E40" s="103">
        <v>0</v>
      </c>
      <c r="F40" s="15">
        <f t="shared" si="0"/>
        <v>0</v>
      </c>
      <c r="G40" s="103">
        <v>0</v>
      </c>
      <c r="H40" s="15">
        <f t="shared" si="1"/>
        <v>0</v>
      </c>
      <c r="I40" s="5">
        <v>0</v>
      </c>
      <c r="J40" s="15">
        <f t="shared" si="2"/>
        <v>0</v>
      </c>
      <c r="K40" s="15">
        <f t="shared" si="3"/>
        <v>0</v>
      </c>
    </row>
    <row r="41" spans="1:11" ht="16.5" customHeight="1">
      <c r="A41" s="48">
        <v>36</v>
      </c>
      <c r="B41" s="90" t="s">
        <v>328</v>
      </c>
      <c r="C41" s="129" t="s">
        <v>10</v>
      </c>
      <c r="D41" s="98">
        <v>60</v>
      </c>
      <c r="E41" s="103">
        <v>0</v>
      </c>
      <c r="F41" s="15">
        <f t="shared" si="0"/>
        <v>0</v>
      </c>
      <c r="G41" s="103">
        <v>0</v>
      </c>
      <c r="H41" s="15">
        <f t="shared" si="1"/>
        <v>0</v>
      </c>
      <c r="I41" s="5">
        <v>0</v>
      </c>
      <c r="J41" s="15">
        <f t="shared" si="2"/>
        <v>0</v>
      </c>
      <c r="K41" s="15">
        <f t="shared" si="3"/>
        <v>0</v>
      </c>
    </row>
    <row r="42" spans="1:11">
      <c r="A42" s="48">
        <v>37</v>
      </c>
      <c r="B42" s="90" t="s">
        <v>329</v>
      </c>
      <c r="C42" s="129" t="s">
        <v>36</v>
      </c>
      <c r="D42" s="98">
        <v>500</v>
      </c>
      <c r="E42" s="103">
        <v>0</v>
      </c>
      <c r="F42" s="15">
        <f t="shared" si="0"/>
        <v>0</v>
      </c>
      <c r="G42" s="28"/>
      <c r="H42" s="15">
        <f t="shared" si="1"/>
        <v>0</v>
      </c>
      <c r="I42" s="23"/>
      <c r="J42" s="15">
        <f t="shared" si="2"/>
        <v>0</v>
      </c>
      <c r="K42" s="15">
        <f t="shared" si="3"/>
        <v>0</v>
      </c>
    </row>
    <row r="43" spans="1:11">
      <c r="A43" s="48">
        <v>38</v>
      </c>
      <c r="B43" s="90" t="s">
        <v>330</v>
      </c>
      <c r="C43" s="129" t="s">
        <v>10</v>
      </c>
      <c r="D43" s="98">
        <v>50</v>
      </c>
      <c r="E43" s="103">
        <v>0</v>
      </c>
      <c r="F43" s="15">
        <f t="shared" si="0"/>
        <v>0</v>
      </c>
      <c r="G43" s="28">
        <v>0</v>
      </c>
      <c r="H43" s="15">
        <f t="shared" si="1"/>
        <v>0</v>
      </c>
      <c r="I43" s="23">
        <v>0</v>
      </c>
      <c r="J43" s="15">
        <f t="shared" si="2"/>
        <v>0</v>
      </c>
      <c r="K43" s="15">
        <f t="shared" si="3"/>
        <v>0</v>
      </c>
    </row>
    <row r="44" spans="1:11">
      <c r="A44" s="48">
        <v>39</v>
      </c>
      <c r="B44" s="90" t="s">
        <v>331</v>
      </c>
      <c r="C44" s="129" t="s">
        <v>36</v>
      </c>
      <c r="D44" s="98">
        <v>100</v>
      </c>
      <c r="E44" s="103">
        <v>0</v>
      </c>
      <c r="F44" s="15">
        <f t="shared" si="0"/>
        <v>0</v>
      </c>
      <c r="G44" s="28"/>
      <c r="H44" s="15">
        <f t="shared" si="1"/>
        <v>0</v>
      </c>
      <c r="I44" s="23"/>
      <c r="J44" s="15">
        <f t="shared" si="2"/>
        <v>0</v>
      </c>
      <c r="K44" s="15">
        <f t="shared" si="3"/>
        <v>0</v>
      </c>
    </row>
    <row r="45" spans="1:11">
      <c r="A45" s="48">
        <v>40</v>
      </c>
      <c r="B45" s="90" t="s">
        <v>332</v>
      </c>
      <c r="C45" s="129" t="s">
        <v>95</v>
      </c>
      <c r="D45" s="98">
        <v>16</v>
      </c>
      <c r="E45" s="103">
        <v>0</v>
      </c>
      <c r="F45" s="15">
        <f t="shared" si="0"/>
        <v>0</v>
      </c>
      <c r="G45" s="28"/>
      <c r="H45" s="15">
        <f t="shared" si="1"/>
        <v>0</v>
      </c>
      <c r="I45" s="23"/>
      <c r="J45" s="15">
        <f t="shared" si="2"/>
        <v>0</v>
      </c>
      <c r="K45" s="15">
        <f t="shared" si="3"/>
        <v>0</v>
      </c>
    </row>
    <row r="46" spans="1:11">
      <c r="A46" s="48">
        <v>41</v>
      </c>
      <c r="B46" s="90" t="s">
        <v>333</v>
      </c>
      <c r="C46" s="129" t="s">
        <v>95</v>
      </c>
      <c r="D46" s="98">
        <v>16</v>
      </c>
      <c r="E46" s="103">
        <v>0</v>
      </c>
      <c r="F46" s="15">
        <f t="shared" si="0"/>
        <v>0</v>
      </c>
      <c r="G46" s="28"/>
      <c r="H46" s="15">
        <f t="shared" si="1"/>
        <v>0</v>
      </c>
      <c r="I46" s="23"/>
      <c r="J46" s="15">
        <f t="shared" si="2"/>
        <v>0</v>
      </c>
      <c r="K46" s="15">
        <f t="shared" si="3"/>
        <v>0</v>
      </c>
    </row>
    <row r="47" spans="1:11">
      <c r="A47" s="48">
        <v>42</v>
      </c>
      <c r="B47" s="90" t="s">
        <v>334</v>
      </c>
      <c r="C47" s="129" t="s">
        <v>95</v>
      </c>
      <c r="D47" s="98">
        <v>4</v>
      </c>
      <c r="E47" s="103">
        <v>0</v>
      </c>
      <c r="F47" s="15">
        <f t="shared" si="0"/>
        <v>0</v>
      </c>
      <c r="G47" s="28"/>
      <c r="H47" s="15">
        <f t="shared" si="1"/>
        <v>0</v>
      </c>
      <c r="I47" s="23"/>
      <c r="J47" s="15">
        <f t="shared" si="2"/>
        <v>0</v>
      </c>
      <c r="K47" s="15">
        <f t="shared" si="3"/>
        <v>0</v>
      </c>
    </row>
    <row r="48" spans="1:11">
      <c r="A48" s="48">
        <v>43</v>
      </c>
      <c r="B48" s="90" t="s">
        <v>335</v>
      </c>
      <c r="C48" s="129" t="s">
        <v>95</v>
      </c>
      <c r="D48" s="98">
        <v>12</v>
      </c>
      <c r="E48" s="103">
        <v>0</v>
      </c>
      <c r="F48" s="15">
        <f t="shared" si="0"/>
        <v>0</v>
      </c>
      <c r="G48" s="28"/>
      <c r="H48" s="15">
        <f t="shared" si="1"/>
        <v>0</v>
      </c>
      <c r="I48" s="23"/>
      <c r="J48" s="15">
        <f t="shared" si="2"/>
        <v>0</v>
      </c>
      <c r="K48" s="15">
        <f t="shared" si="3"/>
        <v>0</v>
      </c>
    </row>
    <row r="49" spans="1:11">
      <c r="A49" s="48">
        <v>44</v>
      </c>
      <c r="B49" s="90" t="s">
        <v>336</v>
      </c>
      <c r="C49" s="129" t="s">
        <v>95</v>
      </c>
      <c r="D49" s="98">
        <v>4</v>
      </c>
      <c r="E49" s="103">
        <v>0</v>
      </c>
      <c r="F49" s="15">
        <f t="shared" si="0"/>
        <v>0</v>
      </c>
      <c r="G49" s="28"/>
      <c r="H49" s="15">
        <f t="shared" si="1"/>
        <v>0</v>
      </c>
      <c r="I49" s="23"/>
      <c r="J49" s="15">
        <f t="shared" si="2"/>
        <v>0</v>
      </c>
      <c r="K49" s="15">
        <f t="shared" si="3"/>
        <v>0</v>
      </c>
    </row>
    <row r="50" spans="1:11" ht="30">
      <c r="A50" s="48">
        <v>45</v>
      </c>
      <c r="B50" s="90" t="s">
        <v>337</v>
      </c>
      <c r="C50" s="129" t="s">
        <v>10</v>
      </c>
      <c r="D50" s="98">
        <v>40</v>
      </c>
      <c r="E50" s="103">
        <v>0</v>
      </c>
      <c r="F50" s="15">
        <f t="shared" si="0"/>
        <v>0</v>
      </c>
      <c r="G50" s="28">
        <v>0</v>
      </c>
      <c r="H50" s="15">
        <f t="shared" si="1"/>
        <v>0</v>
      </c>
      <c r="I50" s="23">
        <v>0</v>
      </c>
      <c r="J50" s="15">
        <f t="shared" si="2"/>
        <v>0</v>
      </c>
      <c r="K50" s="15">
        <f t="shared" si="3"/>
        <v>0</v>
      </c>
    </row>
    <row r="51" spans="1:11">
      <c r="A51" s="48">
        <v>46</v>
      </c>
      <c r="B51" s="90" t="s">
        <v>338</v>
      </c>
      <c r="C51" s="129" t="s">
        <v>95</v>
      </c>
      <c r="D51" s="98">
        <v>3</v>
      </c>
      <c r="E51" s="103">
        <v>0</v>
      </c>
      <c r="F51" s="15">
        <f t="shared" si="0"/>
        <v>0</v>
      </c>
      <c r="G51" s="28">
        <v>0</v>
      </c>
      <c r="H51" s="15">
        <f t="shared" si="1"/>
        <v>0</v>
      </c>
      <c r="I51" s="23">
        <v>0</v>
      </c>
      <c r="J51" s="15">
        <f t="shared" si="2"/>
        <v>0</v>
      </c>
      <c r="K51" s="15">
        <f t="shared" si="3"/>
        <v>0</v>
      </c>
    </row>
    <row r="52" spans="1:11">
      <c r="A52" s="48">
        <v>47</v>
      </c>
      <c r="B52" s="91" t="s">
        <v>131</v>
      </c>
      <c r="C52" s="129" t="s">
        <v>130</v>
      </c>
      <c r="D52" s="98">
        <v>74</v>
      </c>
      <c r="E52" s="103">
        <v>0</v>
      </c>
      <c r="F52" s="15">
        <f t="shared" si="0"/>
        <v>0</v>
      </c>
      <c r="G52" s="28"/>
      <c r="H52" s="15">
        <f t="shared" si="1"/>
        <v>0</v>
      </c>
      <c r="I52" s="23"/>
      <c r="J52" s="15">
        <f t="shared" si="2"/>
        <v>0</v>
      </c>
      <c r="K52" s="15">
        <f t="shared" si="3"/>
        <v>0</v>
      </c>
    </row>
    <row r="53" spans="1:11">
      <c r="A53" s="6"/>
      <c r="B53" s="83" t="s">
        <v>6</v>
      </c>
      <c r="C53" s="10"/>
      <c r="D53" s="15"/>
      <c r="E53" s="15"/>
      <c r="F53" s="15">
        <f>SUM(F6:F52)</f>
        <v>0</v>
      </c>
      <c r="G53" s="15"/>
      <c r="H53" s="15">
        <f>SUM(H6:H52)</f>
        <v>0</v>
      </c>
      <c r="I53" s="15"/>
      <c r="J53" s="15">
        <f>SUM(J6:J52)</f>
        <v>0</v>
      </c>
      <c r="K53" s="32">
        <f>SUM(K6:K52)</f>
        <v>0</v>
      </c>
    </row>
    <row r="54" spans="1:11" ht="15.75">
      <c r="A54" s="6"/>
      <c r="B54" s="92" t="s">
        <v>14</v>
      </c>
      <c r="C54" s="62">
        <v>0.03</v>
      </c>
      <c r="D54" s="61"/>
      <c r="E54" s="30"/>
      <c r="F54" s="30"/>
      <c r="G54" s="61"/>
      <c r="H54" s="61"/>
      <c r="I54" s="61"/>
      <c r="J54" s="30"/>
      <c r="K54" s="40">
        <f>F53*C54</f>
        <v>0</v>
      </c>
    </row>
    <row r="55" spans="1:11" ht="15.75">
      <c r="A55" s="6"/>
      <c r="B55" s="92" t="s">
        <v>6</v>
      </c>
      <c r="C55" s="80"/>
      <c r="D55" s="61"/>
      <c r="E55" s="30"/>
      <c r="F55" s="30"/>
      <c r="G55" s="61"/>
      <c r="H55" s="61"/>
      <c r="I55" s="61"/>
      <c r="J55" s="30"/>
      <c r="K55" s="40">
        <f>K54+K53</f>
        <v>0</v>
      </c>
    </row>
    <row r="56" spans="1:11" ht="15.75">
      <c r="A56" s="6"/>
      <c r="B56" s="92" t="s">
        <v>102</v>
      </c>
      <c r="C56" s="62">
        <v>7.0000000000000007E-2</v>
      </c>
      <c r="D56" s="61"/>
      <c r="E56" s="30"/>
      <c r="F56" s="30"/>
      <c r="G56" s="61"/>
      <c r="H56" s="61"/>
      <c r="I56" s="61"/>
      <c r="J56" s="30"/>
      <c r="K56" s="40">
        <f>K55*C56</f>
        <v>0</v>
      </c>
    </row>
    <row r="57" spans="1:11" ht="15.75">
      <c r="A57" s="7"/>
      <c r="B57" s="92" t="s">
        <v>6</v>
      </c>
      <c r="C57" s="80"/>
      <c r="D57" s="61"/>
      <c r="E57" s="30"/>
      <c r="F57" s="30"/>
      <c r="G57" s="61"/>
      <c r="H57" s="61"/>
      <c r="I57" s="61"/>
      <c r="J57" s="30"/>
      <c r="K57" s="40">
        <f>K56+K55</f>
        <v>0</v>
      </c>
    </row>
    <row r="58" spans="1:11">
      <c r="A58" s="7"/>
      <c r="B58" s="92" t="s">
        <v>114</v>
      </c>
      <c r="C58" s="62">
        <v>7.0000000000000007E-2</v>
      </c>
      <c r="D58" s="63"/>
      <c r="E58" s="25"/>
      <c r="F58" s="64"/>
      <c r="G58" s="63"/>
      <c r="H58" s="63"/>
      <c r="I58" s="63"/>
      <c r="J58" s="25"/>
      <c r="K58" s="36">
        <f>K57*C58</f>
        <v>0</v>
      </c>
    </row>
    <row r="59" spans="1:11" ht="15.75">
      <c r="A59" s="7"/>
      <c r="B59" s="92" t="s">
        <v>6</v>
      </c>
      <c r="C59" s="80"/>
      <c r="D59" s="61"/>
      <c r="E59" s="30"/>
      <c r="F59" s="30"/>
      <c r="G59" s="61"/>
      <c r="H59" s="61"/>
      <c r="I59" s="61"/>
      <c r="J59" s="30"/>
      <c r="K59" s="40">
        <f>K58+K57</f>
        <v>0</v>
      </c>
    </row>
    <row r="60" spans="1:11" ht="15.75">
      <c r="A60" s="7"/>
      <c r="B60" s="93" t="s">
        <v>20</v>
      </c>
      <c r="C60" s="81">
        <v>0.02</v>
      </c>
      <c r="D60" s="65"/>
      <c r="E60" s="66"/>
      <c r="F60" s="66"/>
      <c r="G60" s="65"/>
      <c r="H60" s="65"/>
      <c r="I60" s="65"/>
      <c r="J60" s="66"/>
      <c r="K60" s="67">
        <f>K59*C60</f>
        <v>0</v>
      </c>
    </row>
    <row r="61" spans="1:11" ht="15.75">
      <c r="A61" s="6"/>
      <c r="B61" s="94" t="s">
        <v>103</v>
      </c>
      <c r="C61" s="62">
        <v>0.02</v>
      </c>
      <c r="D61" s="68"/>
      <c r="E61" s="68"/>
      <c r="F61" s="69"/>
      <c r="G61" s="70"/>
      <c r="H61" s="70"/>
      <c r="I61" s="70"/>
      <c r="J61" s="69"/>
      <c r="K61" s="71">
        <f>H53*C61</f>
        <v>0</v>
      </c>
    </row>
    <row r="62" spans="1:11" ht="15.75">
      <c r="A62" s="5"/>
      <c r="B62" s="95" t="s">
        <v>6</v>
      </c>
      <c r="C62" s="72"/>
      <c r="D62" s="68"/>
      <c r="E62" s="68"/>
      <c r="F62" s="69"/>
      <c r="G62" s="70"/>
      <c r="H62" s="70"/>
      <c r="I62" s="70"/>
      <c r="J62" s="69"/>
      <c r="K62" s="71">
        <f>K61+K60+K59</f>
        <v>0</v>
      </c>
    </row>
    <row r="63" spans="1:11" ht="15.75">
      <c r="B63" s="96" t="s">
        <v>104</v>
      </c>
      <c r="C63" s="73">
        <v>0.18</v>
      </c>
      <c r="D63" s="74"/>
      <c r="E63" s="74"/>
      <c r="F63" s="74"/>
      <c r="G63" s="74"/>
      <c r="H63" s="74"/>
      <c r="I63" s="74"/>
      <c r="J63" s="74"/>
      <c r="K63" s="75">
        <f>K62*C63</f>
        <v>0</v>
      </c>
    </row>
    <row r="64" spans="1:11" ht="15.75">
      <c r="A64" s="99"/>
      <c r="B64" s="97" t="s">
        <v>6</v>
      </c>
      <c r="C64" s="82"/>
      <c r="D64" s="76"/>
      <c r="E64" s="76"/>
      <c r="F64" s="76"/>
      <c r="G64" s="76"/>
      <c r="H64" s="76"/>
      <c r="I64" s="76"/>
      <c r="J64" s="76"/>
      <c r="K64" s="77">
        <f>K63+K62</f>
        <v>0</v>
      </c>
    </row>
    <row r="65" spans="1:11">
      <c r="A65" s="9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</sheetData>
  <mergeCells count="12">
    <mergeCell ref="B65:K65"/>
    <mergeCell ref="K3:K4"/>
    <mergeCell ref="A1:K1"/>
    <mergeCell ref="C2:I2"/>
    <mergeCell ref="J2:K2"/>
    <mergeCell ref="A3:A4"/>
    <mergeCell ref="B3:B4"/>
    <mergeCell ref="C3:C4"/>
    <mergeCell ref="D3:D4"/>
    <mergeCell ref="E3:F3"/>
    <mergeCell ref="G3:H3"/>
    <mergeCell ref="I3:J3"/>
  </mergeCells>
  <conditionalFormatting sqref="D30:D37 D39:D51">
    <cfRule type="cellIs" dxfId="2" priority="3" operator="equal">
      <formula>0</formula>
    </cfRule>
  </conditionalFormatting>
  <conditionalFormatting sqref="D25:D29">
    <cfRule type="cellIs" dxfId="1" priority="2" operator="equal">
      <formula>0</formula>
    </cfRule>
  </conditionalFormatting>
  <conditionalFormatting sqref="D52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K102"/>
  <sheetViews>
    <sheetView workbookViewId="0">
      <selection activeCell="I82" sqref="I82"/>
    </sheetView>
  </sheetViews>
  <sheetFormatPr defaultRowHeight="15"/>
  <cols>
    <col min="1" max="1" width="4" customWidth="1"/>
    <col min="2" max="2" width="60.140625" customWidth="1"/>
    <col min="3" max="3" width="9.28515625" customWidth="1"/>
    <col min="4" max="4" width="7.28515625" customWidth="1"/>
    <col min="5" max="5" width="9.28515625" bestFit="1" customWidth="1"/>
    <col min="6" max="6" width="11.28515625" customWidth="1"/>
    <col min="7" max="7" width="11.42578125" customWidth="1"/>
    <col min="8" max="8" width="12.7109375" customWidth="1"/>
    <col min="9" max="9" width="10.140625" customWidth="1"/>
    <col min="10" max="10" width="7.5703125" customWidth="1"/>
    <col min="11" max="11" width="10.7109375" customWidth="1"/>
    <col min="12" max="12" width="14.85546875" bestFit="1" customWidth="1"/>
    <col min="13" max="13" width="13.42578125" customWidth="1"/>
  </cols>
  <sheetData>
    <row r="1" spans="1:11" ht="21" customHeight="1">
      <c r="A1" s="166" t="s">
        <v>415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6.5" customHeight="1">
      <c r="A2" s="9"/>
      <c r="B2" s="38"/>
      <c r="C2" s="169" t="s">
        <v>454</v>
      </c>
      <c r="D2" s="169"/>
      <c r="E2" s="169"/>
      <c r="F2" s="169"/>
      <c r="G2" s="169"/>
      <c r="H2" s="169"/>
      <c r="I2" s="169"/>
      <c r="J2" s="167">
        <f>K93</f>
        <v>0</v>
      </c>
      <c r="K2" s="168"/>
    </row>
    <row r="3" spans="1:11" ht="25.5" customHeight="1">
      <c r="A3" s="170" t="s">
        <v>0</v>
      </c>
      <c r="B3" s="170" t="s">
        <v>1</v>
      </c>
      <c r="C3" s="170" t="s">
        <v>2</v>
      </c>
      <c r="D3" s="176" t="s">
        <v>3</v>
      </c>
      <c r="E3" s="172" t="s">
        <v>4</v>
      </c>
      <c r="F3" s="173"/>
      <c r="G3" s="172" t="s">
        <v>5</v>
      </c>
      <c r="H3" s="173"/>
      <c r="I3" s="174" t="s">
        <v>28</v>
      </c>
      <c r="J3" s="175"/>
      <c r="K3" s="170" t="s">
        <v>6</v>
      </c>
    </row>
    <row r="4" spans="1:11" ht="24" customHeight="1">
      <c r="A4" s="171"/>
      <c r="B4" s="171"/>
      <c r="C4" s="171"/>
      <c r="D4" s="177"/>
      <c r="E4" s="42" t="s">
        <v>7</v>
      </c>
      <c r="F4" s="43" t="s">
        <v>6</v>
      </c>
      <c r="G4" s="42" t="s">
        <v>7</v>
      </c>
      <c r="H4" s="43" t="s">
        <v>6</v>
      </c>
      <c r="I4" s="42" t="s">
        <v>7</v>
      </c>
      <c r="J4" s="43" t="s">
        <v>6</v>
      </c>
      <c r="K4" s="171"/>
    </row>
    <row r="5" spans="1:11">
      <c r="A5" s="141">
        <v>1</v>
      </c>
      <c r="B5" s="107">
        <v>2</v>
      </c>
      <c r="C5" s="107">
        <v>3</v>
      </c>
      <c r="D5" s="107">
        <v>4</v>
      </c>
      <c r="E5" s="107">
        <v>5</v>
      </c>
      <c r="F5" s="107">
        <v>6</v>
      </c>
      <c r="G5" s="107">
        <v>7</v>
      </c>
      <c r="H5" s="107">
        <v>8</v>
      </c>
      <c r="I5" s="107">
        <v>9</v>
      </c>
      <c r="J5" s="107">
        <v>10</v>
      </c>
      <c r="K5" s="107">
        <v>11</v>
      </c>
    </row>
    <row r="6" spans="1:11" ht="32.25" customHeight="1">
      <c r="A6" s="142">
        <v>1</v>
      </c>
      <c r="B6" s="159" t="s">
        <v>419</v>
      </c>
      <c r="C6" s="146" t="s">
        <v>132</v>
      </c>
      <c r="D6" s="143">
        <v>30</v>
      </c>
      <c r="E6" s="23"/>
      <c r="F6" s="31">
        <f t="shared" ref="F6:F70" si="0">E6*D6</f>
        <v>0</v>
      </c>
      <c r="G6" s="28">
        <v>0</v>
      </c>
      <c r="H6" s="31">
        <f t="shared" ref="H6:H70" si="1">G6*D6</f>
        <v>0</v>
      </c>
      <c r="I6" s="24"/>
      <c r="J6" s="31">
        <f t="shared" ref="J6:J81" si="2">I6*D6</f>
        <v>0</v>
      </c>
      <c r="K6" s="31">
        <f t="shared" ref="K6:K70" si="3">J6+H6+F6</f>
        <v>0</v>
      </c>
    </row>
    <row r="7" spans="1:11" ht="50.25" customHeight="1">
      <c r="A7" s="143"/>
      <c r="B7" s="158" t="s">
        <v>417</v>
      </c>
      <c r="C7" s="146" t="s">
        <v>132</v>
      </c>
      <c r="D7" s="143">
        <v>30</v>
      </c>
      <c r="E7" s="23">
        <v>0</v>
      </c>
      <c r="F7" s="31">
        <f t="shared" si="0"/>
        <v>0</v>
      </c>
      <c r="G7" s="28"/>
      <c r="H7" s="31">
        <f t="shared" si="1"/>
        <v>0</v>
      </c>
      <c r="I7" s="24">
        <v>0</v>
      </c>
      <c r="J7" s="31">
        <f t="shared" si="2"/>
        <v>0</v>
      </c>
      <c r="K7" s="31">
        <f t="shared" si="3"/>
        <v>0</v>
      </c>
    </row>
    <row r="8" spans="1:11">
      <c r="A8" s="143"/>
      <c r="B8" s="149" t="s">
        <v>403</v>
      </c>
      <c r="C8" s="146" t="s">
        <v>133</v>
      </c>
      <c r="D8" s="150">
        <f>D7*1.5</f>
        <v>45</v>
      </c>
      <c r="E8" s="23">
        <v>0</v>
      </c>
      <c r="F8" s="31">
        <f t="shared" si="0"/>
        <v>0</v>
      </c>
      <c r="G8" s="28"/>
      <c r="H8" s="31">
        <f t="shared" si="1"/>
        <v>0</v>
      </c>
      <c r="I8" s="24">
        <v>0</v>
      </c>
      <c r="J8" s="31">
        <f t="shared" si="2"/>
        <v>0</v>
      </c>
      <c r="K8" s="31">
        <f t="shared" si="3"/>
        <v>0</v>
      </c>
    </row>
    <row r="9" spans="1:11">
      <c r="A9" s="143"/>
      <c r="B9" s="149" t="s">
        <v>404</v>
      </c>
      <c r="C9" s="146" t="s">
        <v>133</v>
      </c>
      <c r="D9" s="150">
        <f>D7*1.5</f>
        <v>45</v>
      </c>
      <c r="E9" s="23">
        <v>0</v>
      </c>
      <c r="F9" s="31">
        <f t="shared" si="0"/>
        <v>0</v>
      </c>
      <c r="G9" s="28"/>
      <c r="H9" s="31">
        <f t="shared" si="1"/>
        <v>0</v>
      </c>
      <c r="I9" s="24">
        <v>0</v>
      </c>
      <c r="J9" s="31">
        <f t="shared" si="2"/>
        <v>0</v>
      </c>
      <c r="K9" s="31">
        <f t="shared" si="3"/>
        <v>0</v>
      </c>
    </row>
    <row r="10" spans="1:11">
      <c r="A10" s="143"/>
      <c r="B10" s="153" t="s">
        <v>433</v>
      </c>
      <c r="C10" s="151" t="s">
        <v>407</v>
      </c>
      <c r="D10" s="152">
        <v>110</v>
      </c>
      <c r="E10" s="23">
        <v>0</v>
      </c>
      <c r="F10" s="31">
        <f t="shared" si="0"/>
        <v>0</v>
      </c>
      <c r="G10" s="28">
        <v>0</v>
      </c>
      <c r="H10" s="31">
        <f t="shared" si="1"/>
        <v>0</v>
      </c>
      <c r="I10" s="24">
        <v>0</v>
      </c>
      <c r="J10" s="31">
        <f t="shared" si="2"/>
        <v>0</v>
      </c>
      <c r="K10" s="31">
        <f t="shared" si="3"/>
        <v>0</v>
      </c>
    </row>
    <row r="11" spans="1:11" ht="30">
      <c r="A11" s="143"/>
      <c r="B11" s="148" t="s">
        <v>416</v>
      </c>
      <c r="C11" s="146" t="s">
        <v>132</v>
      </c>
      <c r="D11" s="143">
        <v>1</v>
      </c>
      <c r="E11" s="23">
        <v>0</v>
      </c>
      <c r="F11" s="31">
        <f t="shared" si="0"/>
        <v>0</v>
      </c>
      <c r="G11" s="28"/>
      <c r="H11" s="31">
        <f t="shared" si="1"/>
        <v>0</v>
      </c>
      <c r="I11" s="24"/>
      <c r="J11" s="31">
        <f t="shared" si="2"/>
        <v>0</v>
      </c>
      <c r="K11" s="31">
        <f t="shared" si="3"/>
        <v>0</v>
      </c>
    </row>
    <row r="12" spans="1:11" ht="30">
      <c r="A12" s="143">
        <v>2</v>
      </c>
      <c r="B12" s="159" t="s">
        <v>420</v>
      </c>
      <c r="C12" s="146" t="s">
        <v>132</v>
      </c>
      <c r="D12" s="143">
        <v>6</v>
      </c>
      <c r="E12" s="23"/>
      <c r="F12" s="31">
        <f t="shared" si="0"/>
        <v>0</v>
      </c>
      <c r="G12" s="28">
        <v>0</v>
      </c>
      <c r="H12" s="31">
        <f t="shared" si="1"/>
        <v>0</v>
      </c>
      <c r="I12" s="24"/>
      <c r="J12" s="31">
        <f t="shared" si="2"/>
        <v>0</v>
      </c>
      <c r="K12" s="31">
        <f t="shared" si="3"/>
        <v>0</v>
      </c>
    </row>
    <row r="13" spans="1:11" ht="45">
      <c r="A13" s="143"/>
      <c r="B13" s="158" t="s">
        <v>418</v>
      </c>
      <c r="C13" s="146" t="s">
        <v>132</v>
      </c>
      <c r="D13" s="143">
        <v>6</v>
      </c>
      <c r="E13" s="35">
        <v>0</v>
      </c>
      <c r="F13" s="31">
        <f t="shared" si="0"/>
        <v>0</v>
      </c>
      <c r="G13" s="28"/>
      <c r="H13" s="31">
        <f t="shared" si="1"/>
        <v>0</v>
      </c>
      <c r="I13" s="24">
        <v>0</v>
      </c>
      <c r="J13" s="31">
        <f t="shared" si="2"/>
        <v>0</v>
      </c>
      <c r="K13" s="31">
        <f t="shared" si="3"/>
        <v>0</v>
      </c>
    </row>
    <row r="14" spans="1:11">
      <c r="A14" s="143"/>
      <c r="B14" s="149" t="s">
        <v>403</v>
      </c>
      <c r="C14" s="146" t="s">
        <v>133</v>
      </c>
      <c r="D14" s="150">
        <f>D13*1.5</f>
        <v>9</v>
      </c>
      <c r="E14" s="35">
        <v>0</v>
      </c>
      <c r="F14" s="31">
        <f t="shared" si="0"/>
        <v>0</v>
      </c>
      <c r="G14" s="28"/>
      <c r="H14" s="31">
        <f t="shared" si="1"/>
        <v>0</v>
      </c>
      <c r="I14" s="24">
        <v>0</v>
      </c>
      <c r="J14" s="31">
        <f t="shared" si="2"/>
        <v>0</v>
      </c>
      <c r="K14" s="31">
        <f t="shared" si="3"/>
        <v>0</v>
      </c>
    </row>
    <row r="15" spans="1:11">
      <c r="A15" s="143"/>
      <c r="B15" s="149" t="s">
        <v>404</v>
      </c>
      <c r="C15" s="146" t="s">
        <v>133</v>
      </c>
      <c r="D15" s="150">
        <f>D13*1.5</f>
        <v>9</v>
      </c>
      <c r="E15" s="35">
        <v>0</v>
      </c>
      <c r="F15" s="31">
        <f t="shared" si="0"/>
        <v>0</v>
      </c>
      <c r="G15" s="28"/>
      <c r="H15" s="31">
        <f t="shared" si="1"/>
        <v>0</v>
      </c>
      <c r="I15" s="24">
        <v>0</v>
      </c>
      <c r="J15" s="31">
        <f t="shared" si="2"/>
        <v>0</v>
      </c>
      <c r="K15" s="31">
        <f t="shared" si="3"/>
        <v>0</v>
      </c>
    </row>
    <row r="16" spans="1:11">
      <c r="A16" s="143"/>
      <c r="B16" s="153" t="s">
        <v>433</v>
      </c>
      <c r="C16" s="151" t="s">
        <v>407</v>
      </c>
      <c r="D16" s="152">
        <v>70</v>
      </c>
      <c r="E16" s="35">
        <v>0</v>
      </c>
      <c r="F16" s="31">
        <f t="shared" si="0"/>
        <v>0</v>
      </c>
      <c r="G16" s="28">
        <v>0</v>
      </c>
      <c r="H16" s="31">
        <f t="shared" si="1"/>
        <v>0</v>
      </c>
      <c r="I16" s="24">
        <v>0</v>
      </c>
      <c r="J16" s="31">
        <f t="shared" si="2"/>
        <v>0</v>
      </c>
      <c r="K16" s="31">
        <f t="shared" si="3"/>
        <v>0</v>
      </c>
    </row>
    <row r="17" spans="1:11" ht="30">
      <c r="A17" s="143"/>
      <c r="B17" s="148" t="s">
        <v>416</v>
      </c>
      <c r="C17" s="146" t="s">
        <v>132</v>
      </c>
      <c r="D17" s="143">
        <v>1</v>
      </c>
      <c r="E17" s="35">
        <v>0</v>
      </c>
      <c r="F17" s="31">
        <f t="shared" si="0"/>
        <v>0</v>
      </c>
      <c r="G17" s="28"/>
      <c r="H17" s="31">
        <f t="shared" si="1"/>
        <v>0</v>
      </c>
      <c r="I17" s="24"/>
      <c r="J17" s="31">
        <f t="shared" si="2"/>
        <v>0</v>
      </c>
      <c r="K17" s="31">
        <f t="shared" si="3"/>
        <v>0</v>
      </c>
    </row>
    <row r="18" spans="1:11" ht="30">
      <c r="A18" s="143">
        <v>3</v>
      </c>
      <c r="B18" s="159" t="s">
        <v>421</v>
      </c>
      <c r="C18" s="146" t="s">
        <v>132</v>
      </c>
      <c r="D18" s="143">
        <v>6</v>
      </c>
      <c r="E18" s="23"/>
      <c r="F18" s="31">
        <f t="shared" si="0"/>
        <v>0</v>
      </c>
      <c r="G18" s="28">
        <v>0</v>
      </c>
      <c r="H18" s="31">
        <f t="shared" si="1"/>
        <v>0</v>
      </c>
      <c r="I18" s="24"/>
      <c r="J18" s="31">
        <f t="shared" si="2"/>
        <v>0</v>
      </c>
      <c r="K18" s="31">
        <f t="shared" si="3"/>
        <v>0</v>
      </c>
    </row>
    <row r="19" spans="1:11" ht="45">
      <c r="A19" s="143"/>
      <c r="B19" s="158" t="s">
        <v>422</v>
      </c>
      <c r="C19" s="146" t="s">
        <v>132</v>
      </c>
      <c r="D19" s="143">
        <f>D18</f>
        <v>6</v>
      </c>
      <c r="E19" s="35">
        <v>0</v>
      </c>
      <c r="F19" s="31">
        <f t="shared" si="0"/>
        <v>0</v>
      </c>
      <c r="G19" s="28"/>
      <c r="H19" s="31">
        <f t="shared" si="1"/>
        <v>0</v>
      </c>
      <c r="I19" s="24">
        <v>0</v>
      </c>
      <c r="J19" s="31">
        <f t="shared" si="2"/>
        <v>0</v>
      </c>
      <c r="K19" s="31">
        <f t="shared" si="3"/>
        <v>0</v>
      </c>
    </row>
    <row r="20" spans="1:11">
      <c r="A20" s="143"/>
      <c r="B20" s="149" t="s">
        <v>403</v>
      </c>
      <c r="C20" s="146" t="s">
        <v>133</v>
      </c>
      <c r="D20" s="150">
        <f>D19*1.5</f>
        <v>9</v>
      </c>
      <c r="E20" s="35">
        <v>0</v>
      </c>
      <c r="F20" s="31">
        <f t="shared" si="0"/>
        <v>0</v>
      </c>
      <c r="G20" s="28"/>
      <c r="H20" s="31">
        <f t="shared" si="1"/>
        <v>0</v>
      </c>
      <c r="I20" s="24">
        <v>0</v>
      </c>
      <c r="J20" s="31">
        <f t="shared" si="2"/>
        <v>0</v>
      </c>
      <c r="K20" s="31">
        <f t="shared" si="3"/>
        <v>0</v>
      </c>
    </row>
    <row r="21" spans="1:11">
      <c r="A21" s="143"/>
      <c r="B21" s="149" t="s">
        <v>404</v>
      </c>
      <c r="C21" s="146" t="s">
        <v>133</v>
      </c>
      <c r="D21" s="150">
        <f>D19*1.5</f>
        <v>9</v>
      </c>
      <c r="E21" s="35">
        <v>0</v>
      </c>
      <c r="F21" s="31">
        <f t="shared" si="0"/>
        <v>0</v>
      </c>
      <c r="G21" s="28"/>
      <c r="H21" s="31">
        <f t="shared" si="1"/>
        <v>0</v>
      </c>
      <c r="I21" s="24">
        <v>0</v>
      </c>
      <c r="J21" s="31">
        <f t="shared" si="2"/>
        <v>0</v>
      </c>
      <c r="K21" s="31">
        <f t="shared" si="3"/>
        <v>0</v>
      </c>
    </row>
    <row r="22" spans="1:11">
      <c r="A22" s="143"/>
      <c r="B22" s="153" t="s">
        <v>433</v>
      </c>
      <c r="C22" s="151" t="s">
        <v>407</v>
      </c>
      <c r="D22" s="152">
        <v>80</v>
      </c>
      <c r="E22" s="35">
        <v>0</v>
      </c>
      <c r="F22" s="31">
        <f t="shared" si="0"/>
        <v>0</v>
      </c>
      <c r="G22" s="28">
        <v>0</v>
      </c>
      <c r="H22" s="31">
        <f t="shared" si="1"/>
        <v>0</v>
      </c>
      <c r="I22" s="24">
        <v>0</v>
      </c>
      <c r="J22" s="31">
        <f t="shared" si="2"/>
        <v>0</v>
      </c>
      <c r="K22" s="31">
        <f t="shared" si="3"/>
        <v>0</v>
      </c>
    </row>
    <row r="23" spans="1:11" ht="30">
      <c r="A23" s="143"/>
      <c r="B23" s="148" t="s">
        <v>416</v>
      </c>
      <c r="C23" s="146" t="s">
        <v>132</v>
      </c>
      <c r="D23" s="143">
        <v>1</v>
      </c>
      <c r="E23" s="35">
        <v>0</v>
      </c>
      <c r="F23" s="31">
        <f t="shared" si="0"/>
        <v>0</v>
      </c>
      <c r="G23" s="28"/>
      <c r="H23" s="31">
        <f t="shared" si="1"/>
        <v>0</v>
      </c>
      <c r="I23" s="24"/>
      <c r="J23" s="31">
        <f t="shared" si="2"/>
        <v>0</v>
      </c>
      <c r="K23" s="31">
        <f t="shared" si="3"/>
        <v>0</v>
      </c>
    </row>
    <row r="24" spans="1:11" ht="30">
      <c r="A24" s="143">
        <v>4</v>
      </c>
      <c r="B24" s="159" t="s">
        <v>425</v>
      </c>
      <c r="C24" s="146" t="s">
        <v>132</v>
      </c>
      <c r="D24" s="143">
        <v>5</v>
      </c>
      <c r="E24" s="23"/>
      <c r="F24" s="31">
        <f t="shared" si="0"/>
        <v>0</v>
      </c>
      <c r="G24" s="28">
        <v>0</v>
      </c>
      <c r="H24" s="31">
        <f t="shared" si="1"/>
        <v>0</v>
      </c>
      <c r="I24" s="24"/>
      <c r="J24" s="31">
        <f t="shared" si="2"/>
        <v>0</v>
      </c>
      <c r="K24" s="31">
        <f t="shared" si="3"/>
        <v>0</v>
      </c>
    </row>
    <row r="25" spans="1:11" ht="45">
      <c r="A25" s="143"/>
      <c r="B25" s="158" t="s">
        <v>424</v>
      </c>
      <c r="C25" s="146" t="s">
        <v>132</v>
      </c>
      <c r="D25" s="143">
        <v>5</v>
      </c>
      <c r="E25" s="35">
        <v>0</v>
      </c>
      <c r="F25" s="31">
        <f t="shared" si="0"/>
        <v>0</v>
      </c>
      <c r="G25" s="28"/>
      <c r="H25" s="31">
        <f t="shared" si="1"/>
        <v>0</v>
      </c>
      <c r="I25" s="24">
        <v>0</v>
      </c>
      <c r="J25" s="31">
        <f t="shared" si="2"/>
        <v>0</v>
      </c>
      <c r="K25" s="31">
        <f t="shared" si="3"/>
        <v>0</v>
      </c>
    </row>
    <row r="26" spans="1:11">
      <c r="A26" s="143"/>
      <c r="B26" s="149" t="s">
        <v>403</v>
      </c>
      <c r="C26" s="146" t="s">
        <v>133</v>
      </c>
      <c r="D26" s="150">
        <f>D25*1.5</f>
        <v>7.5</v>
      </c>
      <c r="E26" s="35">
        <v>0</v>
      </c>
      <c r="F26" s="31">
        <f t="shared" si="0"/>
        <v>0</v>
      </c>
      <c r="G26" s="28"/>
      <c r="H26" s="31">
        <f t="shared" si="1"/>
        <v>0</v>
      </c>
      <c r="I26" s="24">
        <v>0</v>
      </c>
      <c r="J26" s="31">
        <f t="shared" si="2"/>
        <v>0</v>
      </c>
      <c r="K26" s="31">
        <f t="shared" si="3"/>
        <v>0</v>
      </c>
    </row>
    <row r="27" spans="1:11">
      <c r="A27" s="143"/>
      <c r="B27" s="149" t="s">
        <v>404</v>
      </c>
      <c r="C27" s="146" t="s">
        <v>133</v>
      </c>
      <c r="D27" s="150">
        <f>D25*1.5</f>
        <v>7.5</v>
      </c>
      <c r="E27" s="35">
        <v>0</v>
      </c>
      <c r="F27" s="31">
        <f t="shared" si="0"/>
        <v>0</v>
      </c>
      <c r="G27" s="28"/>
      <c r="H27" s="31">
        <f t="shared" si="1"/>
        <v>0</v>
      </c>
      <c r="I27" s="24">
        <v>0</v>
      </c>
      <c r="J27" s="31">
        <f t="shared" si="2"/>
        <v>0</v>
      </c>
      <c r="K27" s="31">
        <f t="shared" si="3"/>
        <v>0</v>
      </c>
    </row>
    <row r="28" spans="1:11">
      <c r="A28" s="143"/>
      <c r="B28" s="153" t="s">
        <v>433</v>
      </c>
      <c r="C28" s="151" t="s">
        <v>407</v>
      </c>
      <c r="D28" s="152">
        <v>15</v>
      </c>
      <c r="E28" s="35">
        <v>0</v>
      </c>
      <c r="F28" s="31">
        <f t="shared" si="0"/>
        <v>0</v>
      </c>
      <c r="G28" s="28">
        <v>0</v>
      </c>
      <c r="H28" s="31">
        <f t="shared" si="1"/>
        <v>0</v>
      </c>
      <c r="I28" s="24">
        <v>0</v>
      </c>
      <c r="J28" s="31">
        <f t="shared" si="2"/>
        <v>0</v>
      </c>
      <c r="K28" s="31">
        <f t="shared" si="3"/>
        <v>0</v>
      </c>
    </row>
    <row r="29" spans="1:11" ht="30">
      <c r="A29" s="143"/>
      <c r="B29" s="148" t="s">
        <v>416</v>
      </c>
      <c r="C29" s="146" t="s">
        <v>132</v>
      </c>
      <c r="D29" s="143">
        <v>1</v>
      </c>
      <c r="E29" s="35">
        <v>0</v>
      </c>
      <c r="F29" s="31">
        <f t="shared" si="0"/>
        <v>0</v>
      </c>
      <c r="G29" s="28"/>
      <c r="H29" s="31">
        <f t="shared" si="1"/>
        <v>0</v>
      </c>
      <c r="I29" s="24"/>
      <c r="J29" s="31">
        <f t="shared" si="2"/>
        <v>0</v>
      </c>
      <c r="K29" s="31">
        <f t="shared" si="3"/>
        <v>0</v>
      </c>
    </row>
    <row r="30" spans="1:11" ht="30">
      <c r="A30" s="143">
        <v>5</v>
      </c>
      <c r="B30" s="159" t="s">
        <v>426</v>
      </c>
      <c r="C30" s="146" t="s">
        <v>132</v>
      </c>
      <c r="D30" s="143">
        <v>2</v>
      </c>
      <c r="E30" s="23"/>
      <c r="F30" s="31">
        <f t="shared" si="0"/>
        <v>0</v>
      </c>
      <c r="G30" s="28">
        <v>0</v>
      </c>
      <c r="H30" s="31">
        <f t="shared" si="1"/>
        <v>0</v>
      </c>
      <c r="I30" s="24"/>
      <c r="J30" s="31">
        <f t="shared" si="2"/>
        <v>0</v>
      </c>
      <c r="K30" s="31">
        <f t="shared" si="3"/>
        <v>0</v>
      </c>
    </row>
    <row r="31" spans="1:11" ht="45">
      <c r="A31" s="143"/>
      <c r="B31" s="158" t="s">
        <v>423</v>
      </c>
      <c r="C31" s="146" t="s">
        <v>132</v>
      </c>
      <c r="D31" s="143">
        <v>2</v>
      </c>
      <c r="E31" s="35">
        <v>0</v>
      </c>
      <c r="F31" s="31">
        <f t="shared" si="0"/>
        <v>0</v>
      </c>
      <c r="G31" s="28"/>
      <c r="H31" s="31">
        <f t="shared" si="1"/>
        <v>0</v>
      </c>
      <c r="I31" s="24">
        <v>0</v>
      </c>
      <c r="J31" s="31">
        <f t="shared" si="2"/>
        <v>0</v>
      </c>
      <c r="K31" s="31">
        <f t="shared" si="3"/>
        <v>0</v>
      </c>
    </row>
    <row r="32" spans="1:11">
      <c r="A32" s="143"/>
      <c r="B32" s="149" t="s">
        <v>403</v>
      </c>
      <c r="C32" s="146" t="s">
        <v>133</v>
      </c>
      <c r="D32" s="150">
        <f>D31*1.5</f>
        <v>3</v>
      </c>
      <c r="E32" s="35">
        <v>0</v>
      </c>
      <c r="F32" s="31">
        <f t="shared" si="0"/>
        <v>0</v>
      </c>
      <c r="G32" s="28"/>
      <c r="H32" s="31">
        <f t="shared" si="1"/>
        <v>0</v>
      </c>
      <c r="I32" s="24">
        <v>0</v>
      </c>
      <c r="J32" s="31">
        <f t="shared" si="2"/>
        <v>0</v>
      </c>
      <c r="K32" s="31">
        <f t="shared" si="3"/>
        <v>0</v>
      </c>
    </row>
    <row r="33" spans="1:11">
      <c r="A33" s="143"/>
      <c r="B33" s="149" t="s">
        <v>404</v>
      </c>
      <c r="C33" s="146" t="s">
        <v>133</v>
      </c>
      <c r="D33" s="150">
        <f>D31*1.5</f>
        <v>3</v>
      </c>
      <c r="E33" s="35">
        <v>0</v>
      </c>
      <c r="F33" s="31">
        <f t="shared" si="0"/>
        <v>0</v>
      </c>
      <c r="G33" s="28"/>
      <c r="H33" s="31">
        <f t="shared" si="1"/>
        <v>0</v>
      </c>
      <c r="I33" s="24">
        <v>0</v>
      </c>
      <c r="J33" s="31">
        <f t="shared" si="2"/>
        <v>0</v>
      </c>
      <c r="K33" s="31">
        <f t="shared" si="3"/>
        <v>0</v>
      </c>
    </row>
    <row r="34" spans="1:11">
      <c r="A34" s="143"/>
      <c r="B34" s="153" t="s">
        <v>433</v>
      </c>
      <c r="C34" s="151" t="s">
        <v>407</v>
      </c>
      <c r="D34" s="152">
        <v>8</v>
      </c>
      <c r="E34" s="35">
        <v>0</v>
      </c>
      <c r="F34" s="31">
        <f t="shared" si="0"/>
        <v>0</v>
      </c>
      <c r="G34" s="28">
        <v>0</v>
      </c>
      <c r="H34" s="31">
        <f t="shared" si="1"/>
        <v>0</v>
      </c>
      <c r="I34" s="24">
        <v>0</v>
      </c>
      <c r="J34" s="31">
        <f t="shared" si="2"/>
        <v>0</v>
      </c>
      <c r="K34" s="31">
        <f t="shared" si="3"/>
        <v>0</v>
      </c>
    </row>
    <row r="35" spans="1:11" ht="30">
      <c r="A35" s="143"/>
      <c r="B35" s="148" t="s">
        <v>416</v>
      </c>
      <c r="C35" s="146" t="s">
        <v>132</v>
      </c>
      <c r="D35" s="143">
        <v>1</v>
      </c>
      <c r="E35" s="35">
        <v>0</v>
      </c>
      <c r="F35" s="31">
        <f t="shared" si="0"/>
        <v>0</v>
      </c>
      <c r="G35" s="28"/>
      <c r="H35" s="31">
        <f t="shared" si="1"/>
        <v>0</v>
      </c>
      <c r="I35" s="24"/>
      <c r="J35" s="31">
        <f t="shared" si="2"/>
        <v>0</v>
      </c>
      <c r="K35" s="31">
        <f t="shared" si="3"/>
        <v>0</v>
      </c>
    </row>
    <row r="36" spans="1:11" ht="30">
      <c r="A36" s="143">
        <v>6</v>
      </c>
      <c r="B36" s="159" t="s">
        <v>428</v>
      </c>
      <c r="C36" s="146" t="s">
        <v>132</v>
      </c>
      <c r="D36" s="143">
        <v>5</v>
      </c>
      <c r="E36" s="23"/>
      <c r="F36" s="31">
        <f t="shared" si="0"/>
        <v>0</v>
      </c>
      <c r="G36" s="28">
        <v>0</v>
      </c>
      <c r="H36" s="31">
        <f t="shared" si="1"/>
        <v>0</v>
      </c>
      <c r="I36" s="24"/>
      <c r="J36" s="31">
        <f t="shared" si="2"/>
        <v>0</v>
      </c>
      <c r="K36" s="31">
        <f t="shared" si="3"/>
        <v>0</v>
      </c>
    </row>
    <row r="37" spans="1:11" ht="45">
      <c r="A37" s="143"/>
      <c r="B37" s="158" t="s">
        <v>427</v>
      </c>
      <c r="C37" s="146" t="s">
        <v>132</v>
      </c>
      <c r="D37" s="143">
        <f>D36</f>
        <v>5</v>
      </c>
      <c r="E37" s="35">
        <v>0</v>
      </c>
      <c r="F37" s="31">
        <f t="shared" si="0"/>
        <v>0</v>
      </c>
      <c r="G37" s="28"/>
      <c r="H37" s="31">
        <f t="shared" si="1"/>
        <v>0</v>
      </c>
      <c r="I37" s="24">
        <v>0</v>
      </c>
      <c r="J37" s="31">
        <f t="shared" si="2"/>
        <v>0</v>
      </c>
      <c r="K37" s="31">
        <f t="shared" si="3"/>
        <v>0</v>
      </c>
    </row>
    <row r="38" spans="1:11">
      <c r="A38" s="143"/>
      <c r="B38" s="149" t="s">
        <v>403</v>
      </c>
      <c r="C38" s="146" t="s">
        <v>133</v>
      </c>
      <c r="D38" s="150">
        <f>D37*1.5</f>
        <v>7.5</v>
      </c>
      <c r="E38" s="35">
        <v>0</v>
      </c>
      <c r="F38" s="31">
        <f t="shared" si="0"/>
        <v>0</v>
      </c>
      <c r="G38" s="28"/>
      <c r="H38" s="31">
        <f t="shared" si="1"/>
        <v>0</v>
      </c>
      <c r="I38" s="24">
        <v>0</v>
      </c>
      <c r="J38" s="31">
        <f t="shared" si="2"/>
        <v>0</v>
      </c>
      <c r="K38" s="31">
        <f t="shared" si="3"/>
        <v>0</v>
      </c>
    </row>
    <row r="39" spans="1:11">
      <c r="A39" s="143"/>
      <c r="B39" s="149" t="s">
        <v>404</v>
      </c>
      <c r="C39" s="146" t="s">
        <v>133</v>
      </c>
      <c r="D39" s="150">
        <f>D37*1.5</f>
        <v>7.5</v>
      </c>
      <c r="E39" s="35">
        <v>0</v>
      </c>
      <c r="F39" s="31">
        <f t="shared" si="0"/>
        <v>0</v>
      </c>
      <c r="G39" s="28"/>
      <c r="H39" s="31">
        <f t="shared" si="1"/>
        <v>0</v>
      </c>
      <c r="I39" s="24">
        <v>0</v>
      </c>
      <c r="J39" s="31">
        <f t="shared" si="2"/>
        <v>0</v>
      </c>
      <c r="K39" s="31">
        <f t="shared" si="3"/>
        <v>0</v>
      </c>
    </row>
    <row r="40" spans="1:11">
      <c r="A40" s="143"/>
      <c r="B40" s="153" t="s">
        <v>433</v>
      </c>
      <c r="C40" s="151" t="s">
        <v>407</v>
      </c>
      <c r="D40" s="152">
        <v>30</v>
      </c>
      <c r="E40" s="35">
        <v>0</v>
      </c>
      <c r="F40" s="31">
        <f t="shared" si="0"/>
        <v>0</v>
      </c>
      <c r="G40" s="28">
        <v>0</v>
      </c>
      <c r="H40" s="31">
        <f t="shared" si="1"/>
        <v>0</v>
      </c>
      <c r="I40" s="24">
        <v>0</v>
      </c>
      <c r="J40" s="31">
        <f t="shared" si="2"/>
        <v>0</v>
      </c>
      <c r="K40" s="31">
        <f t="shared" si="3"/>
        <v>0</v>
      </c>
    </row>
    <row r="41" spans="1:11" ht="30">
      <c r="A41" s="143"/>
      <c r="B41" s="148" t="s">
        <v>416</v>
      </c>
      <c r="C41" s="146" t="s">
        <v>132</v>
      </c>
      <c r="D41" s="143">
        <v>1</v>
      </c>
      <c r="E41" s="35">
        <v>0</v>
      </c>
      <c r="F41" s="31">
        <f t="shared" si="0"/>
        <v>0</v>
      </c>
      <c r="G41" s="28"/>
      <c r="H41" s="31">
        <f t="shared" si="1"/>
        <v>0</v>
      </c>
      <c r="I41" s="24"/>
      <c r="J41" s="31">
        <f t="shared" si="2"/>
        <v>0</v>
      </c>
      <c r="K41" s="31">
        <f t="shared" si="3"/>
        <v>0</v>
      </c>
    </row>
    <row r="42" spans="1:11" ht="33" customHeight="1">
      <c r="A42" s="143">
        <v>7</v>
      </c>
      <c r="B42" s="160" t="s">
        <v>452</v>
      </c>
      <c r="C42" s="146" t="s">
        <v>132</v>
      </c>
      <c r="D42" s="60">
        <v>1</v>
      </c>
      <c r="E42" s="35">
        <v>0</v>
      </c>
      <c r="F42" s="31">
        <f t="shared" si="0"/>
        <v>0</v>
      </c>
      <c r="G42" s="28">
        <v>0</v>
      </c>
      <c r="H42" s="31">
        <f t="shared" si="1"/>
        <v>0</v>
      </c>
      <c r="I42" s="24">
        <v>0</v>
      </c>
      <c r="J42" s="31">
        <f t="shared" si="2"/>
        <v>0</v>
      </c>
      <c r="K42" s="31">
        <f t="shared" si="3"/>
        <v>0</v>
      </c>
    </row>
    <row r="43" spans="1:11" ht="30">
      <c r="A43" s="143"/>
      <c r="B43" s="147" t="s">
        <v>440</v>
      </c>
      <c r="C43" s="146" t="s">
        <v>132</v>
      </c>
      <c r="D43" s="60">
        <v>1</v>
      </c>
      <c r="E43" s="35">
        <v>0</v>
      </c>
      <c r="F43" s="31">
        <f t="shared" si="0"/>
        <v>0</v>
      </c>
      <c r="G43" s="28">
        <v>0</v>
      </c>
      <c r="H43" s="31">
        <f t="shared" si="1"/>
        <v>0</v>
      </c>
      <c r="I43" s="24">
        <v>0</v>
      </c>
      <c r="J43" s="31">
        <f t="shared" si="2"/>
        <v>0</v>
      </c>
      <c r="K43" s="31">
        <f t="shared" si="3"/>
        <v>0</v>
      </c>
    </row>
    <row r="44" spans="1:11" ht="30">
      <c r="A44" s="143"/>
      <c r="B44" s="147" t="s">
        <v>402</v>
      </c>
      <c r="C44" s="146" t="s">
        <v>132</v>
      </c>
      <c r="D44" s="60">
        <v>18</v>
      </c>
      <c r="E44" s="35">
        <v>0</v>
      </c>
      <c r="F44" s="31">
        <f t="shared" si="0"/>
        <v>0</v>
      </c>
      <c r="G44" s="28">
        <v>0</v>
      </c>
      <c r="H44" s="31">
        <f t="shared" si="1"/>
        <v>0</v>
      </c>
      <c r="I44" s="24">
        <v>0</v>
      </c>
      <c r="J44" s="31">
        <f t="shared" si="2"/>
        <v>0</v>
      </c>
      <c r="K44" s="31">
        <f t="shared" si="3"/>
        <v>0</v>
      </c>
    </row>
    <row r="45" spans="1:11">
      <c r="A45" s="143"/>
      <c r="B45" s="145" t="s">
        <v>441</v>
      </c>
      <c r="C45" s="146" t="s">
        <v>132</v>
      </c>
      <c r="D45" s="60">
        <v>7</v>
      </c>
      <c r="E45" s="35">
        <v>0</v>
      </c>
      <c r="F45" s="31">
        <f t="shared" si="0"/>
        <v>0</v>
      </c>
      <c r="G45" s="28">
        <v>0</v>
      </c>
      <c r="H45" s="31">
        <f t="shared" si="1"/>
        <v>0</v>
      </c>
      <c r="I45" s="24">
        <v>0</v>
      </c>
      <c r="J45" s="31">
        <f t="shared" si="2"/>
        <v>0</v>
      </c>
      <c r="K45" s="31">
        <f t="shared" si="3"/>
        <v>0</v>
      </c>
    </row>
    <row r="46" spans="1:11">
      <c r="A46" s="143"/>
      <c r="B46" s="145" t="s">
        <v>442</v>
      </c>
      <c r="C46" s="146" t="s">
        <v>132</v>
      </c>
      <c r="D46" s="60">
        <v>1</v>
      </c>
      <c r="E46" s="35">
        <v>0</v>
      </c>
      <c r="F46" s="31">
        <f t="shared" si="0"/>
        <v>0</v>
      </c>
      <c r="G46" s="28">
        <v>0</v>
      </c>
      <c r="H46" s="31">
        <f t="shared" si="1"/>
        <v>0</v>
      </c>
      <c r="I46" s="24">
        <v>0</v>
      </c>
      <c r="J46" s="31">
        <f t="shared" si="2"/>
        <v>0</v>
      </c>
      <c r="K46" s="31">
        <f t="shared" si="3"/>
        <v>0</v>
      </c>
    </row>
    <row r="47" spans="1:11">
      <c r="A47" s="143"/>
      <c r="B47" s="145" t="s">
        <v>443</v>
      </c>
      <c r="C47" s="146" t="s">
        <v>132</v>
      </c>
      <c r="D47" s="60">
        <v>6</v>
      </c>
      <c r="E47" s="35">
        <v>0</v>
      </c>
      <c r="F47" s="31">
        <f t="shared" si="0"/>
        <v>0</v>
      </c>
      <c r="G47" s="28">
        <v>0</v>
      </c>
      <c r="H47" s="31">
        <f t="shared" si="1"/>
        <v>0</v>
      </c>
      <c r="I47" s="24">
        <v>0</v>
      </c>
      <c r="J47" s="31">
        <f t="shared" si="2"/>
        <v>0</v>
      </c>
      <c r="K47" s="31">
        <f t="shared" si="3"/>
        <v>0</v>
      </c>
    </row>
    <row r="48" spans="1:11">
      <c r="A48" s="143"/>
      <c r="B48" s="145" t="s">
        <v>398</v>
      </c>
      <c r="C48" s="146" t="s">
        <v>133</v>
      </c>
      <c r="D48" s="60">
        <v>17</v>
      </c>
      <c r="E48" s="35">
        <v>0</v>
      </c>
      <c r="F48" s="31">
        <f t="shared" si="0"/>
        <v>0</v>
      </c>
      <c r="G48" s="28">
        <v>0</v>
      </c>
      <c r="H48" s="31">
        <f t="shared" si="1"/>
        <v>0</v>
      </c>
      <c r="I48" s="24"/>
      <c r="J48" s="31">
        <f t="shared" si="2"/>
        <v>0</v>
      </c>
      <c r="K48" s="31">
        <f t="shared" si="3"/>
        <v>0</v>
      </c>
    </row>
    <row r="49" spans="1:11">
      <c r="A49" s="143"/>
      <c r="B49" s="145" t="s">
        <v>399</v>
      </c>
      <c r="C49" s="146" t="s">
        <v>133</v>
      </c>
      <c r="D49" s="60">
        <v>45.6</v>
      </c>
      <c r="E49" s="35">
        <v>0</v>
      </c>
      <c r="F49" s="31">
        <f t="shared" si="0"/>
        <v>0</v>
      </c>
      <c r="G49" s="28">
        <v>0</v>
      </c>
      <c r="H49" s="31">
        <f t="shared" si="1"/>
        <v>0</v>
      </c>
      <c r="I49" s="24"/>
      <c r="J49" s="31">
        <f t="shared" si="2"/>
        <v>0</v>
      </c>
      <c r="K49" s="31">
        <f t="shared" si="3"/>
        <v>0</v>
      </c>
    </row>
    <row r="50" spans="1:11">
      <c r="A50" s="143"/>
      <c r="B50" s="145" t="s">
        <v>444</v>
      </c>
      <c r="C50" s="146" t="s">
        <v>133</v>
      </c>
      <c r="D50" s="60">
        <v>21</v>
      </c>
      <c r="E50" s="35">
        <v>0</v>
      </c>
      <c r="F50" s="31">
        <f t="shared" si="0"/>
        <v>0</v>
      </c>
      <c r="G50" s="28">
        <v>0</v>
      </c>
      <c r="H50" s="31">
        <f t="shared" si="1"/>
        <v>0</v>
      </c>
      <c r="I50" s="24"/>
      <c r="J50" s="31">
        <f t="shared" si="2"/>
        <v>0</v>
      </c>
      <c r="K50" s="31">
        <f t="shared" si="3"/>
        <v>0</v>
      </c>
    </row>
    <row r="51" spans="1:11">
      <c r="A51" s="143"/>
      <c r="B51" s="145" t="s">
        <v>445</v>
      </c>
      <c r="C51" s="146" t="s">
        <v>133</v>
      </c>
      <c r="D51" s="60">
        <v>54.6</v>
      </c>
      <c r="E51" s="35">
        <v>0</v>
      </c>
      <c r="F51" s="31">
        <f t="shared" si="0"/>
        <v>0</v>
      </c>
      <c r="G51" s="28">
        <v>0</v>
      </c>
      <c r="H51" s="31">
        <f t="shared" si="1"/>
        <v>0</v>
      </c>
      <c r="I51" s="24"/>
      <c r="J51" s="31">
        <f t="shared" si="2"/>
        <v>0</v>
      </c>
      <c r="K51" s="31">
        <f t="shared" si="3"/>
        <v>0</v>
      </c>
    </row>
    <row r="52" spans="1:11">
      <c r="A52" s="143"/>
      <c r="B52" s="145" t="s">
        <v>446</v>
      </c>
      <c r="C52" s="146" t="s">
        <v>133</v>
      </c>
      <c r="D52" s="60">
        <v>13.5</v>
      </c>
      <c r="E52" s="35">
        <v>0</v>
      </c>
      <c r="F52" s="31">
        <f t="shared" si="0"/>
        <v>0</v>
      </c>
      <c r="G52" s="28">
        <v>0</v>
      </c>
      <c r="H52" s="31">
        <f t="shared" si="1"/>
        <v>0</v>
      </c>
      <c r="I52" s="24"/>
      <c r="J52" s="31">
        <f t="shared" si="2"/>
        <v>0</v>
      </c>
      <c r="K52" s="31">
        <f t="shared" si="3"/>
        <v>0</v>
      </c>
    </row>
    <row r="53" spans="1:11">
      <c r="A53" s="143"/>
      <c r="B53" s="145" t="s">
        <v>447</v>
      </c>
      <c r="C53" s="146" t="s">
        <v>133</v>
      </c>
      <c r="D53" s="60">
        <v>5</v>
      </c>
      <c r="E53" s="35">
        <v>0</v>
      </c>
      <c r="F53" s="31">
        <f t="shared" si="0"/>
        <v>0</v>
      </c>
      <c r="G53" s="28">
        <v>0</v>
      </c>
      <c r="H53" s="31">
        <f t="shared" si="1"/>
        <v>0</v>
      </c>
      <c r="I53" s="24"/>
      <c r="J53" s="31">
        <f t="shared" si="2"/>
        <v>0</v>
      </c>
      <c r="K53" s="31">
        <f t="shared" si="3"/>
        <v>0</v>
      </c>
    </row>
    <row r="54" spans="1:11">
      <c r="A54" s="143"/>
      <c r="B54" s="145" t="s">
        <v>448</v>
      </c>
      <c r="C54" s="146" t="s">
        <v>133</v>
      </c>
      <c r="D54" s="60">
        <v>19.5</v>
      </c>
      <c r="E54" s="35">
        <v>0</v>
      </c>
      <c r="F54" s="31">
        <f t="shared" si="0"/>
        <v>0</v>
      </c>
      <c r="G54" s="28">
        <v>0</v>
      </c>
      <c r="H54" s="31">
        <f t="shared" si="1"/>
        <v>0</v>
      </c>
      <c r="I54" s="24"/>
      <c r="J54" s="31">
        <f t="shared" si="2"/>
        <v>0</v>
      </c>
      <c r="K54" s="31">
        <f t="shared" si="3"/>
        <v>0</v>
      </c>
    </row>
    <row r="55" spans="1:11">
      <c r="A55" s="143"/>
      <c r="B55" s="145" t="s">
        <v>449</v>
      </c>
      <c r="C55" s="146" t="s">
        <v>133</v>
      </c>
      <c r="D55" s="60">
        <v>12</v>
      </c>
      <c r="E55" s="35">
        <v>0</v>
      </c>
      <c r="F55" s="31">
        <f t="shared" si="0"/>
        <v>0</v>
      </c>
      <c r="G55" s="28">
        <v>0</v>
      </c>
      <c r="H55" s="31">
        <f t="shared" si="1"/>
        <v>0</v>
      </c>
      <c r="I55" s="24"/>
      <c r="J55" s="31">
        <f t="shared" si="2"/>
        <v>0</v>
      </c>
      <c r="K55" s="31">
        <f t="shared" si="3"/>
        <v>0</v>
      </c>
    </row>
    <row r="56" spans="1:11" ht="30">
      <c r="A56" s="143"/>
      <c r="B56" s="148" t="s">
        <v>400</v>
      </c>
      <c r="C56" s="146" t="s">
        <v>132</v>
      </c>
      <c r="D56" s="60">
        <v>1</v>
      </c>
      <c r="E56" s="35">
        <v>0</v>
      </c>
      <c r="F56" s="31">
        <f t="shared" si="0"/>
        <v>0</v>
      </c>
      <c r="G56" s="28"/>
      <c r="H56" s="31">
        <f t="shared" si="1"/>
        <v>0</v>
      </c>
      <c r="I56" s="24"/>
      <c r="J56" s="31">
        <f t="shared" si="2"/>
        <v>0</v>
      </c>
      <c r="K56" s="31">
        <f t="shared" si="3"/>
        <v>0</v>
      </c>
    </row>
    <row r="57" spans="1:11">
      <c r="A57" s="143"/>
      <c r="B57" s="145" t="s">
        <v>450</v>
      </c>
      <c r="C57" s="146" t="s">
        <v>13</v>
      </c>
      <c r="D57" s="60">
        <v>10.57</v>
      </c>
      <c r="E57" s="35">
        <v>0</v>
      </c>
      <c r="F57" s="31">
        <f t="shared" si="0"/>
        <v>0</v>
      </c>
      <c r="G57" s="28">
        <v>0</v>
      </c>
      <c r="H57" s="31">
        <f t="shared" si="1"/>
        <v>0</v>
      </c>
      <c r="I57" s="24">
        <v>0</v>
      </c>
      <c r="J57" s="31">
        <f t="shared" si="2"/>
        <v>0</v>
      </c>
      <c r="K57" s="31">
        <f t="shared" si="3"/>
        <v>0</v>
      </c>
    </row>
    <row r="58" spans="1:11">
      <c r="A58" s="143"/>
      <c r="B58" s="145" t="s">
        <v>451</v>
      </c>
      <c r="C58" s="146" t="s">
        <v>133</v>
      </c>
      <c r="D58" s="163">
        <v>100</v>
      </c>
      <c r="E58" s="35">
        <v>0</v>
      </c>
      <c r="F58" s="31">
        <f t="shared" si="0"/>
        <v>0</v>
      </c>
      <c r="G58" s="28">
        <v>0</v>
      </c>
      <c r="H58" s="31">
        <f t="shared" si="1"/>
        <v>0</v>
      </c>
      <c r="I58" s="24">
        <v>0</v>
      </c>
      <c r="J58" s="31">
        <f t="shared" si="2"/>
        <v>0</v>
      </c>
      <c r="K58" s="31">
        <f t="shared" si="3"/>
        <v>0</v>
      </c>
    </row>
    <row r="59" spans="1:11" ht="30">
      <c r="A59" s="143">
        <v>8</v>
      </c>
      <c r="B59" s="160" t="s">
        <v>429</v>
      </c>
      <c r="C59" s="146" t="s">
        <v>132</v>
      </c>
      <c r="D59" s="60">
        <v>1</v>
      </c>
      <c r="E59" s="35">
        <v>0</v>
      </c>
      <c r="F59" s="31">
        <f t="shared" si="0"/>
        <v>0</v>
      </c>
      <c r="G59" s="28">
        <v>0</v>
      </c>
      <c r="H59" s="31">
        <f t="shared" si="1"/>
        <v>0</v>
      </c>
      <c r="I59" s="24">
        <v>0</v>
      </c>
      <c r="J59" s="31">
        <f t="shared" si="2"/>
        <v>0</v>
      </c>
      <c r="K59" s="31">
        <f t="shared" si="3"/>
        <v>0</v>
      </c>
    </row>
    <row r="60" spans="1:11" ht="30">
      <c r="A60" s="143"/>
      <c r="B60" s="147" t="s">
        <v>401</v>
      </c>
      <c r="C60" s="146" t="s">
        <v>132</v>
      </c>
      <c r="D60" s="60">
        <v>1</v>
      </c>
      <c r="E60" s="35">
        <v>0</v>
      </c>
      <c r="F60" s="31">
        <f t="shared" si="0"/>
        <v>0</v>
      </c>
      <c r="G60" s="28">
        <v>0</v>
      </c>
      <c r="H60" s="31">
        <f t="shared" si="1"/>
        <v>0</v>
      </c>
      <c r="I60" s="24">
        <v>0</v>
      </c>
      <c r="J60" s="31">
        <f t="shared" si="2"/>
        <v>0</v>
      </c>
      <c r="K60" s="31">
        <f t="shared" si="3"/>
        <v>0</v>
      </c>
    </row>
    <row r="61" spans="1:11" ht="30">
      <c r="A61" s="143"/>
      <c r="B61" s="147" t="s">
        <v>402</v>
      </c>
      <c r="C61" s="146" t="s">
        <v>132</v>
      </c>
      <c r="D61" s="60">
        <v>1</v>
      </c>
      <c r="E61" s="35">
        <v>0</v>
      </c>
      <c r="F61" s="31">
        <f t="shared" si="0"/>
        <v>0</v>
      </c>
      <c r="G61" s="28">
        <v>0</v>
      </c>
      <c r="H61" s="31">
        <f t="shared" si="1"/>
        <v>0</v>
      </c>
      <c r="I61" s="24">
        <v>0</v>
      </c>
      <c r="J61" s="31">
        <f t="shared" si="2"/>
        <v>0</v>
      </c>
      <c r="K61" s="31">
        <f t="shared" si="3"/>
        <v>0</v>
      </c>
    </row>
    <row r="62" spans="1:11">
      <c r="A62" s="143"/>
      <c r="B62" s="145" t="s">
        <v>398</v>
      </c>
      <c r="C62" s="146" t="s">
        <v>133</v>
      </c>
      <c r="D62" s="60">
        <v>3</v>
      </c>
      <c r="E62" s="35">
        <v>0</v>
      </c>
      <c r="F62" s="31">
        <f t="shared" si="0"/>
        <v>0</v>
      </c>
      <c r="G62" s="28">
        <v>0</v>
      </c>
      <c r="H62" s="31">
        <f t="shared" si="1"/>
        <v>0</v>
      </c>
      <c r="I62" s="24"/>
      <c r="J62" s="31">
        <f t="shared" si="2"/>
        <v>0</v>
      </c>
      <c r="K62" s="31">
        <f t="shared" si="3"/>
        <v>0</v>
      </c>
    </row>
    <row r="63" spans="1:11">
      <c r="A63" s="143"/>
      <c r="B63" s="145" t="s">
        <v>399</v>
      </c>
      <c r="C63" s="146" t="s">
        <v>133</v>
      </c>
      <c r="D63" s="60">
        <v>4</v>
      </c>
      <c r="E63" s="35">
        <v>0</v>
      </c>
      <c r="F63" s="31">
        <f t="shared" si="0"/>
        <v>0</v>
      </c>
      <c r="G63" s="28">
        <v>0</v>
      </c>
      <c r="H63" s="31">
        <f t="shared" si="1"/>
        <v>0</v>
      </c>
      <c r="I63" s="24"/>
      <c r="J63" s="31">
        <f t="shared" si="2"/>
        <v>0</v>
      </c>
      <c r="K63" s="31">
        <f t="shared" si="3"/>
        <v>0</v>
      </c>
    </row>
    <row r="64" spans="1:11" ht="30">
      <c r="A64" s="143"/>
      <c r="B64" s="148" t="s">
        <v>400</v>
      </c>
      <c r="C64" s="146" t="s">
        <v>132</v>
      </c>
      <c r="D64" s="60">
        <v>1</v>
      </c>
      <c r="E64" s="35">
        <v>0</v>
      </c>
      <c r="F64" s="31">
        <f t="shared" si="0"/>
        <v>0</v>
      </c>
      <c r="G64" s="28"/>
      <c r="H64" s="31">
        <f t="shared" si="1"/>
        <v>0</v>
      </c>
      <c r="I64" s="24"/>
      <c r="J64" s="31">
        <f t="shared" si="2"/>
        <v>0</v>
      </c>
      <c r="K64" s="31">
        <f t="shared" si="3"/>
        <v>0</v>
      </c>
    </row>
    <row r="65" spans="1:11" ht="30">
      <c r="A65" s="143"/>
      <c r="B65" s="153" t="s">
        <v>412</v>
      </c>
      <c r="C65" s="155" t="s">
        <v>132</v>
      </c>
      <c r="D65" s="156">
        <v>2</v>
      </c>
      <c r="E65" s="35">
        <v>0</v>
      </c>
      <c r="F65" s="31">
        <f t="shared" si="0"/>
        <v>0</v>
      </c>
      <c r="G65" s="144">
        <v>0</v>
      </c>
      <c r="H65" s="31">
        <f t="shared" si="1"/>
        <v>0</v>
      </c>
      <c r="I65" s="36">
        <v>0</v>
      </c>
      <c r="J65" s="31">
        <f t="shared" si="2"/>
        <v>0</v>
      </c>
      <c r="K65" s="31">
        <f t="shared" si="3"/>
        <v>0</v>
      </c>
    </row>
    <row r="66" spans="1:11">
      <c r="A66" s="143"/>
      <c r="B66" s="154" t="s">
        <v>405</v>
      </c>
      <c r="C66" s="151" t="s">
        <v>132</v>
      </c>
      <c r="D66" s="152">
        <v>4</v>
      </c>
      <c r="E66" s="35">
        <v>0</v>
      </c>
      <c r="F66" s="31">
        <f t="shared" si="0"/>
        <v>0</v>
      </c>
      <c r="G66" s="144">
        <v>0</v>
      </c>
      <c r="H66" s="31">
        <f t="shared" si="1"/>
        <v>0</v>
      </c>
      <c r="I66" s="36">
        <v>0</v>
      </c>
      <c r="J66" s="31">
        <f t="shared" si="2"/>
        <v>0</v>
      </c>
      <c r="K66" s="31">
        <f t="shared" si="3"/>
        <v>0</v>
      </c>
    </row>
    <row r="67" spans="1:11" ht="30">
      <c r="A67" s="143"/>
      <c r="B67" s="153" t="s">
        <v>408</v>
      </c>
      <c r="C67" s="151" t="s">
        <v>409</v>
      </c>
      <c r="D67" s="152">
        <v>15</v>
      </c>
      <c r="E67" s="35">
        <v>0</v>
      </c>
      <c r="F67" s="31">
        <f t="shared" si="0"/>
        <v>0</v>
      </c>
      <c r="G67" s="144">
        <v>0</v>
      </c>
      <c r="H67" s="31">
        <f t="shared" si="1"/>
        <v>0</v>
      </c>
      <c r="I67" s="36">
        <v>0</v>
      </c>
      <c r="J67" s="31">
        <f t="shared" si="2"/>
        <v>0</v>
      </c>
      <c r="K67" s="31">
        <f t="shared" si="3"/>
        <v>0</v>
      </c>
    </row>
    <row r="68" spans="1:11">
      <c r="A68" s="143"/>
      <c r="B68" s="154" t="s">
        <v>406</v>
      </c>
      <c r="C68" s="151" t="s">
        <v>407</v>
      </c>
      <c r="D68" s="152">
        <v>10</v>
      </c>
      <c r="E68" s="35">
        <v>0</v>
      </c>
      <c r="F68" s="31">
        <f t="shared" si="0"/>
        <v>0</v>
      </c>
      <c r="G68" s="144">
        <v>0</v>
      </c>
      <c r="H68" s="31">
        <f t="shared" si="1"/>
        <v>0</v>
      </c>
      <c r="I68" s="36">
        <v>0</v>
      </c>
      <c r="J68" s="31">
        <f t="shared" si="2"/>
        <v>0</v>
      </c>
      <c r="K68" s="31">
        <f t="shared" si="3"/>
        <v>0</v>
      </c>
    </row>
    <row r="69" spans="1:11" ht="15.75">
      <c r="A69" s="143"/>
      <c r="B69" s="153" t="s">
        <v>410</v>
      </c>
      <c r="C69" s="151" t="s">
        <v>409</v>
      </c>
      <c r="D69" s="152">
        <v>15</v>
      </c>
      <c r="E69" s="35">
        <v>0</v>
      </c>
      <c r="F69" s="31">
        <f t="shared" si="0"/>
        <v>0</v>
      </c>
      <c r="G69" s="144">
        <v>0</v>
      </c>
      <c r="H69" s="31">
        <f t="shared" si="1"/>
        <v>0</v>
      </c>
      <c r="I69" s="36">
        <v>0</v>
      </c>
      <c r="J69" s="31">
        <f t="shared" si="2"/>
        <v>0</v>
      </c>
      <c r="K69" s="31">
        <f t="shared" si="3"/>
        <v>0</v>
      </c>
    </row>
    <row r="70" spans="1:11">
      <c r="A70" s="143"/>
      <c r="B70" s="153" t="s">
        <v>433</v>
      </c>
      <c r="C70" s="151" t="s">
        <v>407</v>
      </c>
      <c r="D70" s="152">
        <v>25</v>
      </c>
      <c r="E70" s="35">
        <v>0</v>
      </c>
      <c r="F70" s="31">
        <f t="shared" si="0"/>
        <v>0</v>
      </c>
      <c r="G70" s="144">
        <v>0</v>
      </c>
      <c r="H70" s="31">
        <f t="shared" si="1"/>
        <v>0</v>
      </c>
      <c r="I70" s="36">
        <v>0</v>
      </c>
      <c r="J70" s="31">
        <f t="shared" si="2"/>
        <v>0</v>
      </c>
      <c r="K70" s="31">
        <f t="shared" si="3"/>
        <v>0</v>
      </c>
    </row>
    <row r="71" spans="1:11">
      <c r="A71" s="143"/>
      <c r="B71" s="154" t="s">
        <v>430</v>
      </c>
      <c r="C71" s="151" t="s">
        <v>407</v>
      </c>
      <c r="D71" s="152">
        <v>15</v>
      </c>
      <c r="E71" s="35">
        <v>0</v>
      </c>
      <c r="F71" s="31">
        <f t="shared" ref="F71:F81" si="4">E71*D71</f>
        <v>0</v>
      </c>
      <c r="G71" s="144">
        <v>0</v>
      </c>
      <c r="H71" s="31">
        <f t="shared" ref="H71:H81" si="5">G71*D71</f>
        <v>0</v>
      </c>
      <c r="I71" s="36">
        <v>0</v>
      </c>
      <c r="J71" s="31">
        <f t="shared" si="2"/>
        <v>0</v>
      </c>
      <c r="K71" s="31">
        <f t="shared" ref="K71:K81" si="6">J71+H71+F71</f>
        <v>0</v>
      </c>
    </row>
    <row r="72" spans="1:11" ht="30">
      <c r="A72" s="143"/>
      <c r="B72" s="153" t="s">
        <v>411</v>
      </c>
      <c r="C72" s="151" t="s">
        <v>132</v>
      </c>
      <c r="D72" s="152">
        <v>1</v>
      </c>
      <c r="E72" s="35">
        <v>0</v>
      </c>
      <c r="F72" s="31">
        <f t="shared" si="4"/>
        <v>0</v>
      </c>
      <c r="G72" s="28"/>
      <c r="H72" s="31">
        <f t="shared" si="5"/>
        <v>0</v>
      </c>
      <c r="I72" s="24"/>
      <c r="J72" s="31">
        <f t="shared" si="2"/>
        <v>0</v>
      </c>
      <c r="K72" s="31">
        <f t="shared" si="6"/>
        <v>0</v>
      </c>
    </row>
    <row r="73" spans="1:11" ht="30">
      <c r="A73" s="151"/>
      <c r="B73" s="157" t="s">
        <v>431</v>
      </c>
      <c r="C73" s="151"/>
      <c r="D73" s="152"/>
      <c r="E73" s="23"/>
      <c r="F73" s="31">
        <f t="shared" si="4"/>
        <v>0</v>
      </c>
      <c r="G73" s="28"/>
      <c r="H73" s="31">
        <f t="shared" si="5"/>
        <v>0</v>
      </c>
      <c r="I73" s="24"/>
      <c r="J73" s="31">
        <f t="shared" si="2"/>
        <v>0</v>
      </c>
      <c r="K73" s="31">
        <f t="shared" si="6"/>
        <v>0</v>
      </c>
    </row>
    <row r="74" spans="1:11" ht="15.75">
      <c r="A74" s="151">
        <v>1</v>
      </c>
      <c r="B74" s="154" t="s">
        <v>413</v>
      </c>
      <c r="C74" s="151" t="s">
        <v>132</v>
      </c>
      <c r="D74" s="152">
        <v>2</v>
      </c>
      <c r="E74" s="23">
        <v>0</v>
      </c>
      <c r="F74" s="31">
        <f t="shared" si="4"/>
        <v>0</v>
      </c>
      <c r="G74" s="28">
        <v>0</v>
      </c>
      <c r="H74" s="31">
        <f t="shared" si="5"/>
        <v>0</v>
      </c>
      <c r="I74" s="36">
        <v>0</v>
      </c>
      <c r="J74" s="31">
        <f t="shared" si="2"/>
        <v>0</v>
      </c>
      <c r="K74" s="31">
        <f t="shared" si="6"/>
        <v>0</v>
      </c>
    </row>
    <row r="75" spans="1:11" ht="15.75">
      <c r="A75" s="151">
        <v>2</v>
      </c>
      <c r="B75" s="154" t="s">
        <v>414</v>
      </c>
      <c r="C75" s="151" t="s">
        <v>132</v>
      </c>
      <c r="D75" s="152">
        <v>1</v>
      </c>
      <c r="E75" s="23">
        <v>0</v>
      </c>
      <c r="F75" s="31">
        <f t="shared" si="4"/>
        <v>0</v>
      </c>
      <c r="G75" s="28">
        <v>0</v>
      </c>
      <c r="H75" s="31">
        <f t="shared" si="5"/>
        <v>0</v>
      </c>
      <c r="I75" s="36">
        <v>0</v>
      </c>
      <c r="J75" s="31">
        <f t="shared" si="2"/>
        <v>0</v>
      </c>
      <c r="K75" s="31">
        <f t="shared" si="6"/>
        <v>0</v>
      </c>
    </row>
    <row r="76" spans="1:11" ht="30.75">
      <c r="A76" s="151">
        <v>3</v>
      </c>
      <c r="B76" s="153" t="s">
        <v>432</v>
      </c>
      <c r="C76" s="151" t="s">
        <v>132</v>
      </c>
      <c r="D76" s="152">
        <v>1</v>
      </c>
      <c r="E76" s="23">
        <v>0</v>
      </c>
      <c r="F76" s="31">
        <f t="shared" si="4"/>
        <v>0</v>
      </c>
      <c r="G76" s="28">
        <v>0</v>
      </c>
      <c r="H76" s="31">
        <f t="shared" si="5"/>
        <v>0</v>
      </c>
      <c r="I76" s="36">
        <v>0</v>
      </c>
      <c r="J76" s="31">
        <f t="shared" si="2"/>
        <v>0</v>
      </c>
      <c r="K76" s="31">
        <f t="shared" si="6"/>
        <v>0</v>
      </c>
    </row>
    <row r="77" spans="1:11">
      <c r="A77" s="151">
        <v>5</v>
      </c>
      <c r="B77" s="154" t="s">
        <v>405</v>
      </c>
      <c r="C77" s="151" t="s">
        <v>132</v>
      </c>
      <c r="D77" s="152">
        <v>18</v>
      </c>
      <c r="E77" s="23">
        <v>0</v>
      </c>
      <c r="F77" s="31">
        <f t="shared" si="4"/>
        <v>0</v>
      </c>
      <c r="G77" s="28">
        <v>0</v>
      </c>
      <c r="H77" s="31">
        <f t="shared" si="5"/>
        <v>0</v>
      </c>
      <c r="I77" s="36">
        <v>0</v>
      </c>
      <c r="J77" s="31">
        <f t="shared" si="2"/>
        <v>0</v>
      </c>
      <c r="K77" s="31">
        <f t="shared" si="6"/>
        <v>0</v>
      </c>
    </row>
    <row r="78" spans="1:11">
      <c r="A78" s="151">
        <v>6</v>
      </c>
      <c r="B78" s="154" t="s">
        <v>430</v>
      </c>
      <c r="C78" s="151" t="s">
        <v>407</v>
      </c>
      <c r="D78" s="152">
        <v>15</v>
      </c>
      <c r="E78" s="23">
        <v>0</v>
      </c>
      <c r="F78" s="31">
        <f t="shared" si="4"/>
        <v>0</v>
      </c>
      <c r="G78" s="28">
        <v>0</v>
      </c>
      <c r="H78" s="31">
        <f t="shared" si="5"/>
        <v>0</v>
      </c>
      <c r="I78" s="36">
        <v>0</v>
      </c>
      <c r="J78" s="31">
        <f t="shared" si="2"/>
        <v>0</v>
      </c>
      <c r="K78" s="31">
        <f t="shared" si="6"/>
        <v>0</v>
      </c>
    </row>
    <row r="79" spans="1:11" ht="30">
      <c r="A79" s="151">
        <v>7</v>
      </c>
      <c r="B79" s="153" t="s">
        <v>408</v>
      </c>
      <c r="C79" s="151" t="s">
        <v>409</v>
      </c>
      <c r="D79" s="152">
        <v>45</v>
      </c>
      <c r="E79" s="23">
        <v>0</v>
      </c>
      <c r="F79" s="31">
        <f t="shared" si="4"/>
        <v>0</v>
      </c>
      <c r="G79" s="28">
        <v>0</v>
      </c>
      <c r="H79" s="31">
        <f t="shared" si="5"/>
        <v>0</v>
      </c>
      <c r="I79" s="36">
        <v>0</v>
      </c>
      <c r="J79" s="31">
        <f t="shared" si="2"/>
        <v>0</v>
      </c>
      <c r="K79" s="31">
        <f t="shared" si="6"/>
        <v>0</v>
      </c>
    </row>
    <row r="80" spans="1:11" ht="30">
      <c r="A80" s="151">
        <v>8</v>
      </c>
      <c r="B80" s="153" t="s">
        <v>411</v>
      </c>
      <c r="C80" s="151" t="s">
        <v>132</v>
      </c>
      <c r="D80" s="152">
        <v>1</v>
      </c>
      <c r="E80" s="23">
        <v>0</v>
      </c>
      <c r="F80" s="31">
        <f t="shared" si="4"/>
        <v>0</v>
      </c>
      <c r="G80" s="28"/>
      <c r="H80" s="31">
        <f t="shared" si="5"/>
        <v>0</v>
      </c>
      <c r="I80" s="24"/>
      <c r="J80" s="31">
        <f t="shared" si="2"/>
        <v>0</v>
      </c>
      <c r="K80" s="31">
        <f t="shared" si="6"/>
        <v>0</v>
      </c>
    </row>
    <row r="81" spans="1:11">
      <c r="A81" s="161"/>
      <c r="B81" s="153" t="s">
        <v>434</v>
      </c>
      <c r="C81" s="151" t="s">
        <v>435</v>
      </c>
      <c r="D81" s="152">
        <v>18</v>
      </c>
      <c r="E81" s="23"/>
      <c r="F81" s="31">
        <f t="shared" si="4"/>
        <v>0</v>
      </c>
      <c r="G81" s="28">
        <v>0</v>
      </c>
      <c r="H81" s="31">
        <f t="shared" si="5"/>
        <v>0</v>
      </c>
      <c r="I81" s="24">
        <v>0</v>
      </c>
      <c r="J81" s="31">
        <f t="shared" si="2"/>
        <v>0</v>
      </c>
      <c r="K81" s="31">
        <f t="shared" si="6"/>
        <v>0</v>
      </c>
    </row>
    <row r="82" spans="1:11">
      <c r="B82" s="83" t="s">
        <v>6</v>
      </c>
      <c r="C82" s="10"/>
      <c r="D82" s="15"/>
      <c r="E82" s="15"/>
      <c r="F82" s="15">
        <f>SUM(F6:F81)</f>
        <v>0</v>
      </c>
      <c r="G82" s="15"/>
      <c r="H82" s="15">
        <f>SUM(H6:H81)</f>
        <v>0</v>
      </c>
      <c r="I82" s="15"/>
      <c r="J82" s="15">
        <f>SUM(J6:J81)</f>
        <v>0</v>
      </c>
      <c r="K82" s="32">
        <f>SUM(K6:K81)</f>
        <v>0</v>
      </c>
    </row>
    <row r="83" spans="1:11" ht="15.75">
      <c r="B83" s="92" t="s">
        <v>14</v>
      </c>
      <c r="C83" s="62">
        <v>0.03</v>
      </c>
      <c r="D83" s="61"/>
      <c r="E83" s="30"/>
      <c r="F83" s="30"/>
      <c r="G83" s="61"/>
      <c r="H83" s="61"/>
      <c r="I83" s="61"/>
      <c r="J83" s="30"/>
      <c r="K83" s="40">
        <f>F82*C83</f>
        <v>0</v>
      </c>
    </row>
    <row r="84" spans="1:11" ht="15.75">
      <c r="B84" s="92" t="s">
        <v>6</v>
      </c>
      <c r="C84" s="80"/>
      <c r="D84" s="61"/>
      <c r="E84" s="30"/>
      <c r="F84" s="30"/>
      <c r="G84" s="61"/>
      <c r="H84" s="61"/>
      <c r="I84" s="61"/>
      <c r="J84" s="30"/>
      <c r="K84" s="40">
        <f>K83+K82</f>
        <v>0</v>
      </c>
    </row>
    <row r="85" spans="1:11" ht="15.75">
      <c r="B85" s="92" t="s">
        <v>288</v>
      </c>
      <c r="C85" s="62">
        <v>7.0000000000000007E-2</v>
      </c>
      <c r="D85" s="61"/>
      <c r="E85" s="30"/>
      <c r="F85" s="30"/>
      <c r="G85" s="61"/>
      <c r="H85" s="61"/>
      <c r="I85" s="61"/>
      <c r="J85" s="30"/>
      <c r="K85" s="40">
        <f>K84*C85</f>
        <v>0</v>
      </c>
    </row>
    <row r="86" spans="1:11" ht="15.75">
      <c r="B86" s="92" t="s">
        <v>6</v>
      </c>
      <c r="C86" s="80"/>
      <c r="D86" s="61"/>
      <c r="E86" s="30"/>
      <c r="F86" s="30"/>
      <c r="G86" s="61"/>
      <c r="H86" s="61"/>
      <c r="I86" s="61"/>
      <c r="J86" s="30"/>
      <c r="K86" s="40">
        <f>K85+K84</f>
        <v>0</v>
      </c>
    </row>
    <row r="87" spans="1:11">
      <c r="B87" s="92" t="s">
        <v>114</v>
      </c>
      <c r="C87" s="62">
        <v>7.0000000000000007E-2</v>
      </c>
      <c r="D87" s="63"/>
      <c r="E87" s="25"/>
      <c r="F87" s="64"/>
      <c r="G87" s="63"/>
      <c r="H87" s="63"/>
      <c r="I87" s="63"/>
      <c r="J87" s="25"/>
      <c r="K87" s="36">
        <f>K86*C87</f>
        <v>0</v>
      </c>
    </row>
    <row r="88" spans="1:11" ht="15.75">
      <c r="B88" s="92" t="s">
        <v>6</v>
      </c>
      <c r="C88" s="80"/>
      <c r="D88" s="61"/>
      <c r="E88" s="30"/>
      <c r="F88" s="30"/>
      <c r="G88" s="61"/>
      <c r="H88" s="61"/>
      <c r="I88" s="61"/>
      <c r="J88" s="30"/>
      <c r="K88" s="40">
        <f>K87+K86</f>
        <v>0</v>
      </c>
    </row>
    <row r="89" spans="1:11" ht="15.75">
      <c r="B89" s="93" t="s">
        <v>20</v>
      </c>
      <c r="C89" s="81">
        <v>0.02</v>
      </c>
      <c r="D89" s="65"/>
      <c r="E89" s="66"/>
      <c r="F89" s="66"/>
      <c r="G89" s="65"/>
      <c r="H89" s="65"/>
      <c r="I89" s="65"/>
      <c r="J89" s="66"/>
      <c r="K89" s="67">
        <f>K88*C89</f>
        <v>0</v>
      </c>
    </row>
    <row r="90" spans="1:11" ht="15.75">
      <c r="B90" s="94" t="s">
        <v>103</v>
      </c>
      <c r="C90" s="62">
        <v>0.02</v>
      </c>
      <c r="D90" s="68"/>
      <c r="E90" s="68"/>
      <c r="F90" s="69"/>
      <c r="G90" s="70"/>
      <c r="H90" s="70"/>
      <c r="I90" s="70"/>
      <c r="J90" s="69"/>
      <c r="K90" s="71">
        <f>H82*C90</f>
        <v>0</v>
      </c>
    </row>
    <row r="91" spans="1:11" ht="15.75">
      <c r="B91" s="95" t="s">
        <v>6</v>
      </c>
      <c r="C91" s="72"/>
      <c r="D91" s="68"/>
      <c r="E91" s="68"/>
      <c r="F91" s="69"/>
      <c r="G91" s="70"/>
      <c r="H91" s="70"/>
      <c r="I91" s="70"/>
      <c r="J91" s="69"/>
      <c r="K91" s="71">
        <f>K90+K89+K88</f>
        <v>0</v>
      </c>
    </row>
    <row r="92" spans="1:11" ht="15.75">
      <c r="B92" s="96" t="s">
        <v>104</v>
      </c>
      <c r="C92" s="73">
        <v>0.18</v>
      </c>
      <c r="D92" s="74"/>
      <c r="E92" s="74"/>
      <c r="F92" s="74"/>
      <c r="G92" s="74"/>
      <c r="H92" s="74"/>
      <c r="I92" s="74"/>
      <c r="J92" s="74"/>
      <c r="K92" s="75">
        <f>K91*C92</f>
        <v>0</v>
      </c>
    </row>
    <row r="93" spans="1:11" ht="15.75">
      <c r="B93" s="97" t="s">
        <v>6</v>
      </c>
      <c r="C93" s="82"/>
      <c r="D93" s="76"/>
      <c r="E93" s="76"/>
      <c r="F93" s="76"/>
      <c r="G93" s="76"/>
      <c r="H93" s="76"/>
      <c r="I93" s="76"/>
      <c r="J93" s="76"/>
      <c r="K93" s="77">
        <f>K92+K91</f>
        <v>0</v>
      </c>
    </row>
    <row r="94" spans="1:11">
      <c r="A94" s="138"/>
      <c r="B94" s="138"/>
      <c r="C94" s="138"/>
      <c r="D94" s="138"/>
      <c r="E94" s="138"/>
      <c r="F94" s="138"/>
      <c r="G94" s="138"/>
      <c r="H94" s="138"/>
      <c r="I94" s="138"/>
      <c r="J94" s="138"/>
    </row>
    <row r="95" spans="1:11">
      <c r="A95" s="138"/>
      <c r="B95" s="138"/>
      <c r="C95" s="138"/>
      <c r="D95" s="138"/>
      <c r="E95" s="138"/>
      <c r="F95" s="138"/>
      <c r="G95" s="138"/>
      <c r="H95" s="138"/>
      <c r="I95" s="138"/>
      <c r="J95" s="138"/>
    </row>
    <row r="96" spans="1:11">
      <c r="A96" s="138"/>
      <c r="B96" s="138"/>
      <c r="C96" s="138"/>
      <c r="D96" s="138"/>
      <c r="E96" s="138"/>
      <c r="F96" s="138"/>
      <c r="G96" s="138"/>
      <c r="H96" s="138"/>
      <c r="I96" s="138"/>
      <c r="J96" s="138"/>
    </row>
    <row r="97" spans="1:10">
      <c r="A97" s="138"/>
      <c r="B97" s="138"/>
      <c r="C97" s="138"/>
      <c r="D97" s="138"/>
      <c r="E97" s="138"/>
      <c r="F97" s="138"/>
      <c r="G97" s="138"/>
      <c r="H97" s="138"/>
      <c r="I97" s="138"/>
      <c r="J97" s="138"/>
    </row>
    <row r="98" spans="1:10">
      <c r="A98" s="138"/>
      <c r="B98" s="138"/>
      <c r="C98" s="138"/>
      <c r="D98" s="138"/>
      <c r="E98" s="138"/>
      <c r="F98" s="138"/>
      <c r="G98" s="138"/>
      <c r="H98" s="138"/>
      <c r="I98" s="138"/>
      <c r="J98" s="138"/>
    </row>
    <row r="99" spans="1:10">
      <c r="A99" s="138"/>
      <c r="B99" s="138"/>
      <c r="C99" s="138"/>
      <c r="D99" s="138"/>
      <c r="E99" s="138"/>
      <c r="F99" s="138"/>
      <c r="G99" s="138"/>
      <c r="H99" s="138"/>
      <c r="I99" s="138"/>
      <c r="J99" s="138"/>
    </row>
    <row r="100" spans="1:10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</row>
    <row r="101" spans="1:10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</row>
    <row r="102" spans="1:10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</row>
  </sheetData>
  <mergeCells count="11">
    <mergeCell ref="E3:F3"/>
    <mergeCell ref="G3:H3"/>
    <mergeCell ref="I3:J3"/>
    <mergeCell ref="K3:K4"/>
    <mergeCell ref="A1:K1"/>
    <mergeCell ref="C2:I2"/>
    <mergeCell ref="J2:K2"/>
    <mergeCell ref="A3:A4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K53"/>
  <sheetViews>
    <sheetView workbookViewId="0">
      <selection activeCell="I41" sqref="I41"/>
    </sheetView>
  </sheetViews>
  <sheetFormatPr defaultRowHeight="15"/>
  <cols>
    <col min="1" max="1" width="3.28515625" customWidth="1"/>
    <col min="2" max="2" width="72" customWidth="1"/>
    <col min="4" max="4" width="13" customWidth="1"/>
    <col min="5" max="6" width="9.42578125" bestFit="1" customWidth="1"/>
    <col min="8" max="8" width="9.28515625" bestFit="1" customWidth="1"/>
    <col min="10" max="10" width="9.28515625" bestFit="1" customWidth="1"/>
    <col min="11" max="11" width="11.42578125" customWidth="1"/>
  </cols>
  <sheetData>
    <row r="1" spans="1:11">
      <c r="A1" s="166" t="s">
        <v>385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6.25" customHeight="1">
      <c r="A2" s="9"/>
      <c r="B2" s="38"/>
      <c r="C2" s="169" t="s">
        <v>454</v>
      </c>
      <c r="D2" s="169"/>
      <c r="E2" s="169"/>
      <c r="F2" s="169"/>
      <c r="G2" s="169"/>
      <c r="H2" s="169"/>
      <c r="I2" s="169"/>
      <c r="J2" s="167">
        <f>K53</f>
        <v>0</v>
      </c>
      <c r="K2" s="168"/>
    </row>
    <row r="3" spans="1:11" ht="24.75" customHeight="1">
      <c r="A3" s="170" t="s">
        <v>0</v>
      </c>
      <c r="B3" s="170" t="s">
        <v>1</v>
      </c>
      <c r="C3" s="170" t="s">
        <v>2</v>
      </c>
      <c r="D3" s="176" t="s">
        <v>3</v>
      </c>
      <c r="E3" s="172" t="s">
        <v>4</v>
      </c>
      <c r="F3" s="173"/>
      <c r="G3" s="172" t="s">
        <v>5</v>
      </c>
      <c r="H3" s="173"/>
      <c r="I3" s="174" t="s">
        <v>28</v>
      </c>
      <c r="J3" s="175"/>
      <c r="K3" s="170" t="s">
        <v>6</v>
      </c>
    </row>
    <row r="4" spans="1:11">
      <c r="A4" s="171"/>
      <c r="B4" s="171"/>
      <c r="C4" s="171"/>
      <c r="D4" s="177"/>
      <c r="E4" s="42" t="s">
        <v>7</v>
      </c>
      <c r="F4" s="43" t="s">
        <v>6</v>
      </c>
      <c r="G4" s="42" t="s">
        <v>7</v>
      </c>
      <c r="H4" s="43" t="s">
        <v>6</v>
      </c>
      <c r="I4" s="42" t="s">
        <v>7</v>
      </c>
      <c r="J4" s="43" t="s">
        <v>6</v>
      </c>
      <c r="K4" s="171"/>
    </row>
    <row r="5" spans="1:11">
      <c r="A5" s="12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 ht="21" customHeight="1">
      <c r="A6" s="131"/>
      <c r="B6" s="135" t="s">
        <v>352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1:11" ht="21" customHeight="1">
      <c r="A7" s="131">
        <v>1</v>
      </c>
      <c r="B7" s="59" t="s">
        <v>368</v>
      </c>
      <c r="C7" s="60" t="s">
        <v>9</v>
      </c>
      <c r="D7" s="28">
        <v>1</v>
      </c>
      <c r="E7" s="28">
        <v>0</v>
      </c>
      <c r="F7" s="28">
        <f t="shared" ref="F7:F41" si="0">E7*D7</f>
        <v>0</v>
      </c>
      <c r="G7" s="28">
        <v>0</v>
      </c>
      <c r="H7" s="28">
        <f t="shared" ref="H7:H41" si="1">G7*D7</f>
        <v>0</v>
      </c>
      <c r="I7" s="28">
        <v>0</v>
      </c>
      <c r="J7" s="28">
        <f t="shared" ref="J7:J41" si="2">I7*D7</f>
        <v>0</v>
      </c>
      <c r="K7" s="28">
        <f t="shared" ref="K7:K42" si="3">J7+H7+F7</f>
        <v>0</v>
      </c>
    </row>
    <row r="8" spans="1:11" ht="15.75">
      <c r="A8" s="131">
        <v>2</v>
      </c>
      <c r="B8" s="134" t="s">
        <v>367</v>
      </c>
      <c r="C8" s="60" t="s">
        <v>9</v>
      </c>
      <c r="D8" s="136">
        <v>2</v>
      </c>
      <c r="E8" s="28">
        <v>0</v>
      </c>
      <c r="F8" s="28">
        <f t="shared" si="0"/>
        <v>0</v>
      </c>
      <c r="G8" s="28">
        <v>0</v>
      </c>
      <c r="H8" s="28">
        <f t="shared" si="1"/>
        <v>0</v>
      </c>
      <c r="I8" s="28">
        <v>0</v>
      </c>
      <c r="J8" s="28">
        <f t="shared" si="2"/>
        <v>0</v>
      </c>
      <c r="K8" s="28">
        <f t="shared" si="3"/>
        <v>0</v>
      </c>
    </row>
    <row r="9" spans="1:11" ht="15.75">
      <c r="A9" s="131">
        <v>3</v>
      </c>
      <c r="B9" s="134" t="s">
        <v>437</v>
      </c>
      <c r="C9" s="60" t="s">
        <v>9</v>
      </c>
      <c r="D9" s="136">
        <v>5</v>
      </c>
      <c r="E9" s="28">
        <v>0</v>
      </c>
      <c r="F9" s="28">
        <f t="shared" ref="F9" si="4">E9*D9</f>
        <v>0</v>
      </c>
      <c r="G9" s="28">
        <v>0</v>
      </c>
      <c r="H9" s="28">
        <f t="shared" ref="H9" si="5">G9*D9</f>
        <v>0</v>
      </c>
      <c r="I9" s="28">
        <v>0</v>
      </c>
      <c r="J9" s="28">
        <f t="shared" ref="J9" si="6">I9*D9</f>
        <v>0</v>
      </c>
      <c r="K9" s="28">
        <f t="shared" ref="K9" si="7">J9+H9+F9</f>
        <v>0</v>
      </c>
    </row>
    <row r="10" spans="1:11" ht="15.75">
      <c r="A10" s="131">
        <v>4</v>
      </c>
      <c r="B10" s="134" t="s">
        <v>353</v>
      </c>
      <c r="C10" s="60" t="s">
        <v>9</v>
      </c>
      <c r="D10" s="136">
        <v>1</v>
      </c>
      <c r="E10" s="28">
        <v>0</v>
      </c>
      <c r="F10" s="28">
        <f t="shared" si="0"/>
        <v>0</v>
      </c>
      <c r="G10" s="28">
        <v>0</v>
      </c>
      <c r="H10" s="28">
        <f t="shared" si="1"/>
        <v>0</v>
      </c>
      <c r="I10" s="28">
        <v>0</v>
      </c>
      <c r="J10" s="28">
        <f t="shared" si="2"/>
        <v>0</v>
      </c>
      <c r="K10" s="28">
        <f t="shared" si="3"/>
        <v>0</v>
      </c>
    </row>
    <row r="11" spans="1:11" ht="30">
      <c r="A11" s="131">
        <v>5</v>
      </c>
      <c r="B11" s="125" t="s">
        <v>354</v>
      </c>
      <c r="C11" s="60" t="s">
        <v>9</v>
      </c>
      <c r="D11" s="136">
        <v>2</v>
      </c>
      <c r="E11" s="28">
        <v>0</v>
      </c>
      <c r="F11" s="28">
        <f t="shared" si="0"/>
        <v>0</v>
      </c>
      <c r="G11" s="28">
        <v>0</v>
      </c>
      <c r="H11" s="28">
        <f t="shared" si="1"/>
        <v>0</v>
      </c>
      <c r="I11" s="28">
        <v>0</v>
      </c>
      <c r="J11" s="28">
        <f t="shared" si="2"/>
        <v>0</v>
      </c>
      <c r="K11" s="28">
        <f t="shared" si="3"/>
        <v>0</v>
      </c>
    </row>
    <row r="12" spans="1:11" ht="15.75">
      <c r="A12" s="131">
        <v>6</v>
      </c>
      <c r="B12" s="125" t="s">
        <v>355</v>
      </c>
      <c r="C12" s="60" t="s">
        <v>9</v>
      </c>
      <c r="D12" s="136">
        <v>2</v>
      </c>
      <c r="E12" s="28">
        <v>0</v>
      </c>
      <c r="F12" s="28">
        <f t="shared" si="0"/>
        <v>0</v>
      </c>
      <c r="G12" s="28">
        <v>0</v>
      </c>
      <c r="H12" s="28">
        <f t="shared" si="1"/>
        <v>0</v>
      </c>
      <c r="I12" s="28">
        <v>0</v>
      </c>
      <c r="J12" s="28">
        <f t="shared" si="2"/>
        <v>0</v>
      </c>
      <c r="K12" s="28">
        <f t="shared" si="3"/>
        <v>0</v>
      </c>
    </row>
    <row r="13" spans="1:11" ht="15.75">
      <c r="A13" s="131">
        <v>7</v>
      </c>
      <c r="B13" s="125" t="s">
        <v>438</v>
      </c>
      <c r="C13" s="60" t="s">
        <v>9</v>
      </c>
      <c r="D13" s="136">
        <v>38</v>
      </c>
      <c r="E13" s="28">
        <v>0</v>
      </c>
      <c r="F13" s="28">
        <f t="shared" si="0"/>
        <v>0</v>
      </c>
      <c r="G13" s="28">
        <v>0</v>
      </c>
      <c r="H13" s="28">
        <f t="shared" si="1"/>
        <v>0</v>
      </c>
      <c r="I13" s="28">
        <v>0</v>
      </c>
      <c r="J13" s="28">
        <f t="shared" si="2"/>
        <v>0</v>
      </c>
      <c r="K13" s="28">
        <f t="shared" si="3"/>
        <v>0</v>
      </c>
    </row>
    <row r="14" spans="1:11" ht="15.75">
      <c r="A14" s="131">
        <v>8</v>
      </c>
      <c r="B14" s="125" t="s">
        <v>384</v>
      </c>
      <c r="C14" s="60" t="s">
        <v>9</v>
      </c>
      <c r="D14" s="136">
        <f>D13*2</f>
        <v>76</v>
      </c>
      <c r="E14" s="28">
        <v>0</v>
      </c>
      <c r="F14" s="28">
        <f t="shared" si="0"/>
        <v>0</v>
      </c>
      <c r="G14" s="28">
        <v>0</v>
      </c>
      <c r="H14" s="28">
        <f t="shared" si="1"/>
        <v>0</v>
      </c>
      <c r="I14" s="28">
        <v>0</v>
      </c>
      <c r="J14" s="28">
        <f t="shared" si="2"/>
        <v>0</v>
      </c>
      <c r="K14" s="28">
        <f t="shared" si="3"/>
        <v>0</v>
      </c>
    </row>
    <row r="15" spans="1:11" ht="15.75">
      <c r="A15" s="131">
        <v>9</v>
      </c>
      <c r="B15" s="134" t="s">
        <v>377</v>
      </c>
      <c r="C15" s="60" t="s">
        <v>10</v>
      </c>
      <c r="D15" s="136">
        <v>15</v>
      </c>
      <c r="E15" s="28">
        <v>0</v>
      </c>
      <c r="F15" s="28">
        <f t="shared" si="0"/>
        <v>0</v>
      </c>
      <c r="G15" s="28">
        <v>0</v>
      </c>
      <c r="H15" s="28">
        <f t="shared" si="1"/>
        <v>0</v>
      </c>
      <c r="I15" s="28">
        <v>0</v>
      </c>
      <c r="J15" s="28">
        <f t="shared" si="2"/>
        <v>0</v>
      </c>
      <c r="K15" s="28">
        <f t="shared" si="3"/>
        <v>0</v>
      </c>
    </row>
    <row r="16" spans="1:11" ht="15.75">
      <c r="A16" s="131">
        <v>10</v>
      </c>
      <c r="B16" s="134" t="s">
        <v>369</v>
      </c>
      <c r="C16" s="60" t="s">
        <v>10</v>
      </c>
      <c r="D16" s="136">
        <v>15</v>
      </c>
      <c r="E16" s="28">
        <v>0</v>
      </c>
      <c r="F16" s="28">
        <f t="shared" si="0"/>
        <v>0</v>
      </c>
      <c r="G16" s="28">
        <v>0</v>
      </c>
      <c r="H16" s="28">
        <f t="shared" si="1"/>
        <v>0</v>
      </c>
      <c r="I16" s="28">
        <v>0</v>
      </c>
      <c r="J16" s="28">
        <f t="shared" si="2"/>
        <v>0</v>
      </c>
      <c r="K16" s="28">
        <f t="shared" si="3"/>
        <v>0</v>
      </c>
    </row>
    <row r="17" spans="1:11" ht="15.75">
      <c r="A17" s="131">
        <v>11</v>
      </c>
      <c r="B17" s="134" t="s">
        <v>370</v>
      </c>
      <c r="C17" s="60" t="s">
        <v>10</v>
      </c>
      <c r="D17" s="136">
        <v>12</v>
      </c>
      <c r="E17" s="28">
        <v>0</v>
      </c>
      <c r="F17" s="28">
        <f t="shared" si="0"/>
        <v>0</v>
      </c>
      <c r="G17" s="28">
        <v>0</v>
      </c>
      <c r="H17" s="28">
        <f t="shared" si="1"/>
        <v>0</v>
      </c>
      <c r="I17" s="28">
        <v>0</v>
      </c>
      <c r="J17" s="28">
        <f t="shared" si="2"/>
        <v>0</v>
      </c>
      <c r="K17" s="28">
        <f t="shared" si="3"/>
        <v>0</v>
      </c>
    </row>
    <row r="18" spans="1:11" ht="15.75">
      <c r="A18" s="131">
        <v>12</v>
      </c>
      <c r="B18" s="134" t="s">
        <v>371</v>
      </c>
      <c r="C18" s="60" t="s">
        <v>10</v>
      </c>
      <c r="D18" s="136">
        <v>12</v>
      </c>
      <c r="E18" s="28">
        <v>0</v>
      </c>
      <c r="F18" s="28">
        <f t="shared" si="0"/>
        <v>0</v>
      </c>
      <c r="G18" s="28">
        <v>0</v>
      </c>
      <c r="H18" s="28">
        <f t="shared" si="1"/>
        <v>0</v>
      </c>
      <c r="I18" s="28">
        <v>0</v>
      </c>
      <c r="J18" s="28">
        <f t="shared" si="2"/>
        <v>0</v>
      </c>
      <c r="K18" s="28">
        <f t="shared" si="3"/>
        <v>0</v>
      </c>
    </row>
    <row r="19" spans="1:11" ht="15.75">
      <c r="A19" s="131">
        <v>13</v>
      </c>
      <c r="B19" s="134" t="s">
        <v>372</v>
      </c>
      <c r="C19" s="60" t="s">
        <v>10</v>
      </c>
      <c r="D19" s="136">
        <v>130</v>
      </c>
      <c r="E19" s="28">
        <v>0</v>
      </c>
      <c r="F19" s="28">
        <f t="shared" si="0"/>
        <v>0</v>
      </c>
      <c r="G19" s="28">
        <v>0</v>
      </c>
      <c r="H19" s="28">
        <f t="shared" si="1"/>
        <v>0</v>
      </c>
      <c r="I19" s="28">
        <v>0</v>
      </c>
      <c r="J19" s="28">
        <f t="shared" si="2"/>
        <v>0</v>
      </c>
      <c r="K19" s="28">
        <f t="shared" si="3"/>
        <v>0</v>
      </c>
    </row>
    <row r="20" spans="1:11" ht="15.75">
      <c r="A20" s="131">
        <v>14</v>
      </c>
      <c r="B20" s="134" t="s">
        <v>378</v>
      </c>
      <c r="C20" s="60" t="s">
        <v>10</v>
      </c>
      <c r="D20" s="136">
        <v>15</v>
      </c>
      <c r="E20" s="28">
        <v>0</v>
      </c>
      <c r="F20" s="28">
        <f t="shared" si="0"/>
        <v>0</v>
      </c>
      <c r="G20" s="28">
        <v>0</v>
      </c>
      <c r="H20" s="28">
        <f t="shared" si="1"/>
        <v>0</v>
      </c>
      <c r="I20" s="28">
        <v>0</v>
      </c>
      <c r="J20" s="28">
        <f t="shared" si="2"/>
        <v>0</v>
      </c>
      <c r="K20" s="28">
        <f t="shared" si="3"/>
        <v>0</v>
      </c>
    </row>
    <row r="21" spans="1:11" ht="15.75">
      <c r="A21" s="131">
        <v>15</v>
      </c>
      <c r="B21" s="134" t="s">
        <v>373</v>
      </c>
      <c r="C21" s="60" t="s">
        <v>10</v>
      </c>
      <c r="D21" s="136">
        <v>18</v>
      </c>
      <c r="E21" s="28">
        <v>0</v>
      </c>
      <c r="F21" s="28">
        <f t="shared" si="0"/>
        <v>0</v>
      </c>
      <c r="G21" s="28">
        <v>0</v>
      </c>
      <c r="H21" s="28">
        <f t="shared" si="1"/>
        <v>0</v>
      </c>
      <c r="I21" s="28">
        <v>0</v>
      </c>
      <c r="J21" s="28">
        <f t="shared" si="2"/>
        <v>0</v>
      </c>
      <c r="K21" s="28">
        <f t="shared" si="3"/>
        <v>0</v>
      </c>
    </row>
    <row r="22" spans="1:11" ht="15.75">
      <c r="A22" s="131">
        <v>16</v>
      </c>
      <c r="B22" s="134" t="s">
        <v>374</v>
      </c>
      <c r="C22" s="60" t="s">
        <v>10</v>
      </c>
      <c r="D22" s="136">
        <v>14</v>
      </c>
      <c r="E22" s="28">
        <v>0</v>
      </c>
      <c r="F22" s="28">
        <f t="shared" si="0"/>
        <v>0</v>
      </c>
      <c r="G22" s="28">
        <v>0</v>
      </c>
      <c r="H22" s="28">
        <f t="shared" si="1"/>
        <v>0</v>
      </c>
      <c r="I22" s="28">
        <v>0</v>
      </c>
      <c r="J22" s="28">
        <f t="shared" si="2"/>
        <v>0</v>
      </c>
      <c r="K22" s="28">
        <f t="shared" si="3"/>
        <v>0</v>
      </c>
    </row>
    <row r="23" spans="1:11" ht="15.75">
      <c r="A23" s="131">
        <v>17</v>
      </c>
      <c r="B23" s="134" t="s">
        <v>375</v>
      </c>
      <c r="C23" s="60" t="s">
        <v>10</v>
      </c>
      <c r="D23" s="136">
        <v>12</v>
      </c>
      <c r="E23" s="28">
        <v>0</v>
      </c>
      <c r="F23" s="28">
        <f t="shared" si="0"/>
        <v>0</v>
      </c>
      <c r="G23" s="28">
        <v>0</v>
      </c>
      <c r="H23" s="28">
        <f t="shared" si="1"/>
        <v>0</v>
      </c>
      <c r="I23" s="28">
        <v>0</v>
      </c>
      <c r="J23" s="28">
        <f t="shared" si="2"/>
        <v>0</v>
      </c>
      <c r="K23" s="28">
        <f t="shared" si="3"/>
        <v>0</v>
      </c>
    </row>
    <row r="24" spans="1:11" ht="15.75">
      <c r="A24" s="131">
        <v>18</v>
      </c>
      <c r="B24" s="134" t="s">
        <v>376</v>
      </c>
      <c r="C24" s="60" t="s">
        <v>95</v>
      </c>
      <c r="D24" s="60">
        <v>130</v>
      </c>
      <c r="E24" s="28">
        <v>0</v>
      </c>
      <c r="F24" s="28">
        <f t="shared" si="0"/>
        <v>0</v>
      </c>
      <c r="G24" s="28">
        <v>0</v>
      </c>
      <c r="H24" s="28">
        <f t="shared" si="1"/>
        <v>0</v>
      </c>
      <c r="I24" s="28">
        <v>0</v>
      </c>
      <c r="J24" s="28">
        <f t="shared" si="2"/>
        <v>0</v>
      </c>
      <c r="K24" s="28">
        <f t="shared" si="3"/>
        <v>0</v>
      </c>
    </row>
    <row r="25" spans="1:11" ht="15.75">
      <c r="A25" s="131">
        <v>19</v>
      </c>
      <c r="B25" s="134" t="s">
        <v>379</v>
      </c>
      <c r="C25" s="60" t="s">
        <v>95</v>
      </c>
      <c r="D25" s="60">
        <v>8</v>
      </c>
      <c r="E25" s="28">
        <v>0</v>
      </c>
      <c r="F25" s="28">
        <f t="shared" si="0"/>
        <v>0</v>
      </c>
      <c r="G25" s="28">
        <v>0</v>
      </c>
      <c r="H25" s="28">
        <f t="shared" si="1"/>
        <v>0</v>
      </c>
      <c r="I25" s="28">
        <v>0</v>
      </c>
      <c r="J25" s="28">
        <f t="shared" si="2"/>
        <v>0</v>
      </c>
      <c r="K25" s="28">
        <f t="shared" si="3"/>
        <v>0</v>
      </c>
    </row>
    <row r="26" spans="1:11" ht="15.75">
      <c r="A26" s="131">
        <v>20</v>
      </c>
      <c r="B26" s="134" t="s">
        <v>356</v>
      </c>
      <c r="C26" s="60" t="s">
        <v>95</v>
      </c>
      <c r="D26" s="60">
        <v>10</v>
      </c>
      <c r="E26" s="28">
        <v>0</v>
      </c>
      <c r="F26" s="28">
        <f t="shared" si="0"/>
        <v>0</v>
      </c>
      <c r="G26" s="28">
        <v>0</v>
      </c>
      <c r="H26" s="28">
        <f t="shared" si="1"/>
        <v>0</v>
      </c>
      <c r="I26" s="28">
        <v>0</v>
      </c>
      <c r="J26" s="28">
        <f t="shared" si="2"/>
        <v>0</v>
      </c>
      <c r="K26" s="28">
        <f t="shared" si="3"/>
        <v>0</v>
      </c>
    </row>
    <row r="27" spans="1:11" ht="15.75">
      <c r="A27" s="131">
        <v>21</v>
      </c>
      <c r="B27" s="134" t="s">
        <v>357</v>
      </c>
      <c r="C27" s="60" t="s">
        <v>95</v>
      </c>
      <c r="D27" s="60">
        <v>12</v>
      </c>
      <c r="E27" s="28">
        <v>0</v>
      </c>
      <c r="F27" s="28">
        <f t="shared" si="0"/>
        <v>0</v>
      </c>
      <c r="G27" s="28">
        <v>0</v>
      </c>
      <c r="H27" s="28">
        <f t="shared" si="1"/>
        <v>0</v>
      </c>
      <c r="I27" s="28">
        <v>0</v>
      </c>
      <c r="J27" s="28">
        <f t="shared" si="2"/>
        <v>0</v>
      </c>
      <c r="K27" s="28">
        <f t="shared" si="3"/>
        <v>0</v>
      </c>
    </row>
    <row r="28" spans="1:11" ht="15.75">
      <c r="A28" s="131">
        <v>22</v>
      </c>
      <c r="B28" s="134" t="s">
        <v>358</v>
      </c>
      <c r="C28" s="60" t="s">
        <v>95</v>
      </c>
      <c r="D28" s="60">
        <v>80</v>
      </c>
      <c r="E28" s="28">
        <v>0</v>
      </c>
      <c r="F28" s="28">
        <f t="shared" si="0"/>
        <v>0</v>
      </c>
      <c r="G28" s="28">
        <v>0</v>
      </c>
      <c r="H28" s="28">
        <f t="shared" si="1"/>
        <v>0</v>
      </c>
      <c r="I28" s="28">
        <v>0</v>
      </c>
      <c r="J28" s="28">
        <f t="shared" si="2"/>
        <v>0</v>
      </c>
      <c r="K28" s="28">
        <f t="shared" si="3"/>
        <v>0</v>
      </c>
    </row>
    <row r="29" spans="1:11" ht="15.75">
      <c r="A29" s="131">
        <v>23</v>
      </c>
      <c r="B29" s="134" t="s">
        <v>359</v>
      </c>
      <c r="C29" s="60" t="s">
        <v>95</v>
      </c>
      <c r="D29" s="60">
        <v>3</v>
      </c>
      <c r="E29" s="28">
        <v>0</v>
      </c>
      <c r="F29" s="28">
        <f t="shared" si="0"/>
        <v>0</v>
      </c>
      <c r="G29" s="28">
        <v>0</v>
      </c>
      <c r="H29" s="28">
        <f t="shared" si="1"/>
        <v>0</v>
      </c>
      <c r="I29" s="23"/>
      <c r="J29" s="28">
        <f t="shared" si="2"/>
        <v>0</v>
      </c>
      <c r="K29" s="28">
        <f t="shared" si="3"/>
        <v>0</v>
      </c>
    </row>
    <row r="30" spans="1:11" ht="15.75">
      <c r="A30" s="131">
        <v>24</v>
      </c>
      <c r="B30" s="134" t="s">
        <v>380</v>
      </c>
      <c r="C30" s="60" t="s">
        <v>95</v>
      </c>
      <c r="D30" s="60">
        <v>2</v>
      </c>
      <c r="E30" s="28">
        <v>0</v>
      </c>
      <c r="F30" s="28">
        <f t="shared" si="0"/>
        <v>0</v>
      </c>
      <c r="G30" s="28">
        <v>0</v>
      </c>
      <c r="H30" s="28">
        <f t="shared" si="1"/>
        <v>0</v>
      </c>
      <c r="I30" s="23"/>
      <c r="J30" s="28">
        <f t="shared" si="2"/>
        <v>0</v>
      </c>
      <c r="K30" s="28">
        <f t="shared" si="3"/>
        <v>0</v>
      </c>
    </row>
    <row r="31" spans="1:11" ht="15.75">
      <c r="A31" s="131">
        <v>25</v>
      </c>
      <c r="B31" s="134" t="s">
        <v>366</v>
      </c>
      <c r="C31" s="60" t="s">
        <v>95</v>
      </c>
      <c r="D31" s="60">
        <v>2</v>
      </c>
      <c r="E31" s="28">
        <v>0</v>
      </c>
      <c r="F31" s="28">
        <f t="shared" si="0"/>
        <v>0</v>
      </c>
      <c r="G31" s="28">
        <v>0</v>
      </c>
      <c r="H31" s="28">
        <f t="shared" si="1"/>
        <v>0</v>
      </c>
      <c r="I31" s="23"/>
      <c r="J31" s="28">
        <f t="shared" si="2"/>
        <v>0</v>
      </c>
      <c r="K31" s="28">
        <f t="shared" si="3"/>
        <v>0</v>
      </c>
    </row>
    <row r="32" spans="1:11" ht="15.75">
      <c r="A32" s="131">
        <v>26</v>
      </c>
      <c r="B32" s="134" t="s">
        <v>360</v>
      </c>
      <c r="C32" s="60" t="s">
        <v>95</v>
      </c>
      <c r="D32" s="60">
        <v>4</v>
      </c>
      <c r="E32" s="28">
        <v>0</v>
      </c>
      <c r="F32" s="28">
        <f t="shared" si="0"/>
        <v>0</v>
      </c>
      <c r="G32" s="28">
        <v>0</v>
      </c>
      <c r="H32" s="28">
        <f t="shared" si="1"/>
        <v>0</v>
      </c>
      <c r="I32" s="23"/>
      <c r="J32" s="28">
        <f t="shared" si="2"/>
        <v>0</v>
      </c>
      <c r="K32" s="28">
        <f t="shared" si="3"/>
        <v>0</v>
      </c>
    </row>
    <row r="33" spans="1:11" ht="15.75">
      <c r="A33" s="131">
        <v>27</v>
      </c>
      <c r="B33" s="134" t="s">
        <v>361</v>
      </c>
      <c r="C33" s="60" t="s">
        <v>95</v>
      </c>
      <c r="D33" s="60">
        <v>2</v>
      </c>
      <c r="E33" s="28">
        <v>0</v>
      </c>
      <c r="F33" s="28">
        <f t="shared" si="0"/>
        <v>0</v>
      </c>
      <c r="G33" s="28">
        <v>0</v>
      </c>
      <c r="H33" s="28">
        <f t="shared" si="1"/>
        <v>0</v>
      </c>
      <c r="I33" s="23"/>
      <c r="J33" s="28">
        <f t="shared" si="2"/>
        <v>0</v>
      </c>
      <c r="K33" s="28">
        <f t="shared" si="3"/>
        <v>0</v>
      </c>
    </row>
    <row r="34" spans="1:11" ht="15.75">
      <c r="A34" s="131">
        <v>28</v>
      </c>
      <c r="B34" s="134" t="s">
        <v>362</v>
      </c>
      <c r="C34" s="60" t="s">
        <v>95</v>
      </c>
      <c r="D34" s="60">
        <v>2</v>
      </c>
      <c r="E34" s="28">
        <v>0</v>
      </c>
      <c r="F34" s="28">
        <f t="shared" si="0"/>
        <v>0</v>
      </c>
      <c r="G34" s="28">
        <v>0</v>
      </c>
      <c r="H34" s="28">
        <f t="shared" si="1"/>
        <v>0</v>
      </c>
      <c r="I34" s="23"/>
      <c r="J34" s="28">
        <f t="shared" si="2"/>
        <v>0</v>
      </c>
      <c r="K34" s="28">
        <f t="shared" si="3"/>
        <v>0</v>
      </c>
    </row>
    <row r="35" spans="1:11" ht="15.75">
      <c r="A35" s="131">
        <v>29</v>
      </c>
      <c r="B35" s="134" t="s">
        <v>363</v>
      </c>
      <c r="C35" s="60" t="s">
        <v>95</v>
      </c>
      <c r="D35" s="60">
        <v>2</v>
      </c>
      <c r="E35" s="28">
        <v>0</v>
      </c>
      <c r="F35" s="28">
        <f t="shared" si="0"/>
        <v>0</v>
      </c>
      <c r="G35" s="28">
        <v>0</v>
      </c>
      <c r="H35" s="28">
        <f t="shared" si="1"/>
        <v>0</v>
      </c>
      <c r="I35" s="23"/>
      <c r="J35" s="28">
        <f t="shared" si="2"/>
        <v>0</v>
      </c>
      <c r="K35" s="28">
        <f t="shared" si="3"/>
        <v>0</v>
      </c>
    </row>
    <row r="36" spans="1:11" ht="15.75">
      <c r="A36" s="131">
        <v>30</v>
      </c>
      <c r="B36" s="134" t="s">
        <v>364</v>
      </c>
      <c r="C36" s="60" t="s">
        <v>95</v>
      </c>
      <c r="D36" s="60">
        <v>1</v>
      </c>
      <c r="E36" s="28">
        <v>0</v>
      </c>
      <c r="F36" s="28">
        <f t="shared" si="0"/>
        <v>0</v>
      </c>
      <c r="G36" s="28">
        <v>0</v>
      </c>
      <c r="H36" s="28">
        <f t="shared" si="1"/>
        <v>0</v>
      </c>
      <c r="I36" s="23"/>
      <c r="J36" s="28">
        <f t="shared" si="2"/>
        <v>0</v>
      </c>
      <c r="K36" s="28">
        <f t="shared" si="3"/>
        <v>0</v>
      </c>
    </row>
    <row r="37" spans="1:11" ht="15.75">
      <c r="A37" s="131">
        <v>31</v>
      </c>
      <c r="B37" s="134" t="s">
        <v>365</v>
      </c>
      <c r="C37" s="60" t="s">
        <v>95</v>
      </c>
      <c r="D37" s="60">
        <v>2</v>
      </c>
      <c r="E37" s="28">
        <v>0</v>
      </c>
      <c r="F37" s="28">
        <f t="shared" si="0"/>
        <v>0</v>
      </c>
      <c r="G37" s="28">
        <v>0</v>
      </c>
      <c r="H37" s="28">
        <f t="shared" si="1"/>
        <v>0</v>
      </c>
      <c r="I37" s="23"/>
      <c r="J37" s="28">
        <f t="shared" si="2"/>
        <v>0</v>
      </c>
      <c r="K37" s="28">
        <f t="shared" si="3"/>
        <v>0</v>
      </c>
    </row>
    <row r="38" spans="1:11">
      <c r="A38" s="131">
        <v>32</v>
      </c>
      <c r="B38" s="85" t="s">
        <v>381</v>
      </c>
      <c r="C38" s="23" t="s">
        <v>10</v>
      </c>
      <c r="D38" s="24">
        <v>80</v>
      </c>
      <c r="E38" s="28">
        <v>0</v>
      </c>
      <c r="F38" s="28">
        <f t="shared" si="0"/>
        <v>0</v>
      </c>
      <c r="G38" s="28">
        <v>0</v>
      </c>
      <c r="H38" s="28">
        <f t="shared" si="1"/>
        <v>0</v>
      </c>
      <c r="I38" s="24">
        <v>0</v>
      </c>
      <c r="J38" s="28">
        <f t="shared" si="2"/>
        <v>0</v>
      </c>
      <c r="K38" s="28">
        <f t="shared" si="3"/>
        <v>0</v>
      </c>
    </row>
    <row r="39" spans="1:11">
      <c r="A39" s="131">
        <v>33</v>
      </c>
      <c r="B39" s="85" t="s">
        <v>383</v>
      </c>
      <c r="C39" s="23" t="s">
        <v>12</v>
      </c>
      <c r="D39" s="24">
        <f>5000*0.05</f>
        <v>250</v>
      </c>
      <c r="E39" s="28">
        <v>0</v>
      </c>
      <c r="F39" s="28">
        <f t="shared" si="0"/>
        <v>0</v>
      </c>
      <c r="G39" s="28">
        <v>0</v>
      </c>
      <c r="H39" s="28">
        <f t="shared" si="1"/>
        <v>0</v>
      </c>
      <c r="I39" s="24">
        <v>0</v>
      </c>
      <c r="J39" s="28">
        <f t="shared" si="2"/>
        <v>0</v>
      </c>
      <c r="K39" s="28">
        <f t="shared" si="3"/>
        <v>0</v>
      </c>
    </row>
    <row r="40" spans="1:11">
      <c r="A40" s="131">
        <v>34</v>
      </c>
      <c r="B40" s="85" t="s">
        <v>382</v>
      </c>
      <c r="C40" s="23" t="s">
        <v>12</v>
      </c>
      <c r="D40" s="24">
        <v>75</v>
      </c>
      <c r="E40" s="28">
        <v>0</v>
      </c>
      <c r="F40" s="28">
        <f t="shared" si="0"/>
        <v>0</v>
      </c>
      <c r="G40" s="28">
        <v>0</v>
      </c>
      <c r="H40" s="28">
        <f t="shared" si="1"/>
        <v>0</v>
      </c>
      <c r="I40" s="24">
        <v>0</v>
      </c>
      <c r="J40" s="28">
        <f t="shared" si="2"/>
        <v>0</v>
      </c>
      <c r="K40" s="28">
        <f t="shared" si="3"/>
        <v>0</v>
      </c>
    </row>
    <row r="41" spans="1:11" ht="30">
      <c r="A41" s="131">
        <v>35</v>
      </c>
      <c r="B41" s="85" t="s">
        <v>145</v>
      </c>
      <c r="C41" s="23" t="s">
        <v>12</v>
      </c>
      <c r="D41" s="24">
        <v>1</v>
      </c>
      <c r="E41" s="28">
        <v>0</v>
      </c>
      <c r="F41" s="28">
        <f t="shared" si="0"/>
        <v>0</v>
      </c>
      <c r="G41" s="24"/>
      <c r="H41" s="28">
        <f t="shared" si="1"/>
        <v>0</v>
      </c>
      <c r="I41" s="24"/>
      <c r="J41" s="28">
        <f t="shared" si="2"/>
        <v>0</v>
      </c>
      <c r="K41" s="28">
        <f t="shared" si="3"/>
        <v>0</v>
      </c>
    </row>
    <row r="42" spans="1:11">
      <c r="A42" s="23"/>
      <c r="B42" s="83" t="s">
        <v>6</v>
      </c>
      <c r="C42" s="34"/>
      <c r="D42" s="24"/>
      <c r="E42" s="24"/>
      <c r="F42" s="24">
        <f>SUM(F7:F41)</f>
        <v>0</v>
      </c>
      <c r="G42" s="24"/>
      <c r="H42" s="24">
        <f>SUM(H7:H41)</f>
        <v>0</v>
      </c>
      <c r="I42" s="24"/>
      <c r="J42" s="24">
        <f>SUM(J7:J41)</f>
        <v>0</v>
      </c>
      <c r="K42" s="132">
        <f t="shared" si="3"/>
        <v>0</v>
      </c>
    </row>
    <row r="43" spans="1:11" ht="15.75">
      <c r="A43" s="25"/>
      <c r="B43" s="92" t="s">
        <v>14</v>
      </c>
      <c r="C43" s="62">
        <v>0.03</v>
      </c>
      <c r="D43" s="61"/>
      <c r="E43" s="30"/>
      <c r="F43" s="30"/>
      <c r="G43" s="61"/>
      <c r="H43" s="61"/>
      <c r="I43" s="61"/>
      <c r="J43" s="30"/>
      <c r="K43" s="40">
        <f>F42*C43</f>
        <v>0</v>
      </c>
    </row>
    <row r="44" spans="1:11" ht="15.75">
      <c r="A44" s="25"/>
      <c r="B44" s="92" t="s">
        <v>6</v>
      </c>
      <c r="C44" s="80"/>
      <c r="D44" s="61"/>
      <c r="E44" s="30"/>
      <c r="F44" s="30"/>
      <c r="G44" s="61"/>
      <c r="H44" s="61"/>
      <c r="I44" s="61"/>
      <c r="J44" s="30"/>
      <c r="K44" s="40">
        <f>K43+K42</f>
        <v>0</v>
      </c>
    </row>
    <row r="45" spans="1:11" ht="15.75">
      <c r="A45" s="25"/>
      <c r="B45" s="92" t="s">
        <v>288</v>
      </c>
      <c r="C45" s="62">
        <v>7.0000000000000007E-2</v>
      </c>
      <c r="D45" s="61"/>
      <c r="E45" s="30"/>
      <c r="F45" s="30"/>
      <c r="G45" s="61"/>
      <c r="H45" s="61"/>
      <c r="I45" s="61"/>
      <c r="J45" s="30"/>
      <c r="K45" s="40">
        <f>K44*C45</f>
        <v>0</v>
      </c>
    </row>
    <row r="46" spans="1:11" ht="15.75">
      <c r="A46" s="25"/>
      <c r="B46" s="92" t="s">
        <v>6</v>
      </c>
      <c r="C46" s="80"/>
      <c r="D46" s="61"/>
      <c r="E46" s="30"/>
      <c r="F46" s="30"/>
      <c r="G46" s="61"/>
      <c r="H46" s="61"/>
      <c r="I46" s="61"/>
      <c r="J46" s="30"/>
      <c r="K46" s="40">
        <f>K45+K44</f>
        <v>0</v>
      </c>
    </row>
    <row r="47" spans="1:11">
      <c r="A47" s="25"/>
      <c r="B47" s="92" t="s">
        <v>114</v>
      </c>
      <c r="C47" s="62">
        <v>7.0000000000000007E-2</v>
      </c>
      <c r="D47" s="63"/>
      <c r="E47" s="25"/>
      <c r="F47" s="64"/>
      <c r="G47" s="63"/>
      <c r="H47" s="63"/>
      <c r="I47" s="63"/>
      <c r="J47" s="25"/>
      <c r="K47" s="36">
        <f>K46*C47</f>
        <v>0</v>
      </c>
    </row>
    <row r="48" spans="1:11" ht="15.75">
      <c r="A48" s="133"/>
      <c r="B48" s="92" t="s">
        <v>6</v>
      </c>
      <c r="C48" s="80"/>
      <c r="D48" s="61"/>
      <c r="E48" s="30"/>
      <c r="F48" s="30"/>
      <c r="G48" s="61"/>
      <c r="H48" s="61"/>
      <c r="I48" s="61"/>
      <c r="J48" s="30"/>
      <c r="K48" s="40">
        <f>K47+K46</f>
        <v>0</v>
      </c>
    </row>
    <row r="49" spans="1:11" ht="15.75">
      <c r="A49" s="133"/>
      <c r="B49" s="93" t="s">
        <v>20</v>
      </c>
      <c r="C49" s="81">
        <v>0.02</v>
      </c>
      <c r="D49" s="65"/>
      <c r="E49" s="66"/>
      <c r="F49" s="66"/>
      <c r="G49" s="65"/>
      <c r="H49" s="65"/>
      <c r="I49" s="65"/>
      <c r="J49" s="66"/>
      <c r="K49" s="67">
        <f>K48*C49</f>
        <v>0</v>
      </c>
    </row>
    <row r="50" spans="1:11" ht="15.75">
      <c r="A50" s="133"/>
      <c r="B50" s="94" t="s">
        <v>103</v>
      </c>
      <c r="C50" s="62">
        <v>0.02</v>
      </c>
      <c r="D50" s="68"/>
      <c r="E50" s="68"/>
      <c r="F50" s="69"/>
      <c r="G50" s="70"/>
      <c r="H50" s="70"/>
      <c r="I50" s="70"/>
      <c r="J50" s="69"/>
      <c r="K50" s="71">
        <f>H42*C50</f>
        <v>0</v>
      </c>
    </row>
    <row r="51" spans="1:11" ht="15.75">
      <c r="A51" s="133"/>
      <c r="B51" s="95" t="s">
        <v>6</v>
      </c>
      <c r="C51" s="72"/>
      <c r="D51" s="68"/>
      <c r="E51" s="68"/>
      <c r="F51" s="69"/>
      <c r="G51" s="70"/>
      <c r="H51" s="70"/>
      <c r="I51" s="70"/>
      <c r="J51" s="69"/>
      <c r="K51" s="71">
        <f>K50+K49+K48</f>
        <v>0</v>
      </c>
    </row>
    <row r="52" spans="1:11" ht="15.75">
      <c r="A52" s="25"/>
      <c r="B52" s="96" t="s">
        <v>104</v>
      </c>
      <c r="C52" s="73">
        <v>0.18</v>
      </c>
      <c r="D52" s="74"/>
      <c r="E52" s="74"/>
      <c r="F52" s="74"/>
      <c r="G52" s="74"/>
      <c r="H52" s="74"/>
      <c r="I52" s="74"/>
      <c r="J52" s="74"/>
      <c r="K52" s="75">
        <f>K51*C52</f>
        <v>0</v>
      </c>
    </row>
    <row r="53" spans="1:11" ht="15.75">
      <c r="A53" s="23"/>
      <c r="B53" s="97" t="s">
        <v>6</v>
      </c>
      <c r="C53" s="82"/>
      <c r="D53" s="76"/>
      <c r="E53" s="76"/>
      <c r="F53" s="76"/>
      <c r="G53" s="76"/>
      <c r="H53" s="76"/>
      <c r="I53" s="76"/>
      <c r="J53" s="76"/>
      <c r="K53" s="77">
        <f>K52+K51</f>
        <v>0</v>
      </c>
    </row>
  </sheetData>
  <mergeCells count="11">
    <mergeCell ref="K3:K4"/>
    <mergeCell ref="A1:K1"/>
    <mergeCell ref="C2:I2"/>
    <mergeCell ref="J2:K2"/>
    <mergeCell ref="A3:A4"/>
    <mergeCell ref="B3:B4"/>
    <mergeCell ref="C3:C4"/>
    <mergeCell ref="D3:D4"/>
    <mergeCell ref="E3:F3"/>
    <mergeCell ref="G3:H3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გურამიშვილი, კრებსითი</vt:lpstr>
      <vt:lpstr>სამშენებლო</vt:lpstr>
      <vt:lpstr>კომპ. დაქსელვა</vt:lpstr>
      <vt:lpstr>სახანძრო</vt:lpstr>
      <vt:lpstr>სანტექნიკა</vt:lpstr>
      <vt:lpstr>ელექტროობა</vt:lpstr>
      <vt:lpstr>გაგრილ. ვენტილაცია</vt:lpstr>
      <vt:lpstr>საქვაბე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2021-11-24T09:10:58Z</dcterms:modified>
</cp:coreProperties>
</file>